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735" tabRatio="913" firstSheet="17" activeTab="17"/>
  </bookViews>
  <sheets>
    <sheet name="Вхідні дані" sheetId="5" r:id="rId1"/>
    <sheet name="цена газ нас" sheetId="93" r:id="rId2"/>
    <sheet name="цена газ б" sheetId="95" r:id="rId3"/>
    <sheet name="розподіл газу" sheetId="96" r:id="rId4"/>
    <sheet name="цена елен" sheetId="94" r:id="rId5"/>
    <sheet name="характеристика котельних" sheetId="70" r:id="rId6"/>
    <sheet name="навантаження" sheetId="71" r:id="rId7"/>
    <sheet name="річна потреба те на опалення" sheetId="72" r:id="rId8"/>
    <sheet name="січ2021" sheetId="73" r:id="rId9"/>
    <sheet name="лют2021" sheetId="74" r:id="rId10"/>
    <sheet name="берез2021" sheetId="75" r:id="rId11"/>
    <sheet name="квіт2021" sheetId="76" r:id="rId12"/>
    <sheet name="жовт2020" sheetId="77" r:id="rId13"/>
    <sheet name="листопад2020" sheetId="78" r:id="rId14"/>
    <sheet name="груд2020" sheetId="16" r:id="rId15"/>
    <sheet name="РІК" sheetId="17" r:id="rId16"/>
    <sheet name="інд норми зміни" sheetId="85" r:id="rId17"/>
    <sheet name="додаток2" sheetId="47" r:id="rId18"/>
    <sheet name="Лист2" sheetId="98" r:id="rId19"/>
  </sheets>
  <externalReferences>
    <externalReference r:id="rId20"/>
    <externalReference r:id="rId21"/>
    <externalReference r:id="rId22"/>
    <externalReference r:id="rId23"/>
  </externalReferences>
  <definedNames>
    <definedName name="_xlnm.Print_Titles" localSheetId="0">'Вхідні дані'!$3:$3</definedName>
    <definedName name="_xlnm.Print_Area" localSheetId="10">берез2021!$A$1:$U$47</definedName>
    <definedName name="_xlnm.Print_Area" localSheetId="0">'Вхідні дані'!$A$1:$G$86</definedName>
    <definedName name="_xlnm.Print_Area" localSheetId="14">груд2020!$A$1:$U$51</definedName>
    <definedName name="_xlnm.Print_Area" localSheetId="17">додаток2!$A$1:$H$72</definedName>
    <definedName name="_xlnm.Print_Area" localSheetId="12">жовт2020!$A$1:$U$47</definedName>
    <definedName name="_xlnm.Print_Area" localSheetId="16">'інд норми зміни'!$A$1:$M$32</definedName>
    <definedName name="_xlnm.Print_Area" localSheetId="11">квіт2021!$A$1:$U$47</definedName>
    <definedName name="_xlnm.Print_Area" localSheetId="13">листопад2020!$A$1:$U$47</definedName>
    <definedName name="_xlnm.Print_Area" localSheetId="9">лют2021!$A$1:$U$47</definedName>
    <definedName name="_xlnm.Print_Area" localSheetId="15">РІК!$A$1:$U$49</definedName>
    <definedName name="_xlnm.Print_Area" localSheetId="7">'річна потреба те на опалення'!$A$1:$AO$74</definedName>
    <definedName name="_xlnm.Print_Area" localSheetId="8">січ2021!$A$1:$U$47</definedName>
    <definedName name="отклонение" localSheetId="14">'Вхідні дані'!#REF!</definedName>
    <definedName name="отклонение" localSheetId="15">'Вхідні дані'!#REF!</definedName>
    <definedName name="отклонение">'Вхідні дані'!#REF!</definedName>
    <definedName name="отклонение_15" localSheetId="14">#REF!</definedName>
    <definedName name="отклонение_15" localSheetId="15">#REF!</definedName>
    <definedName name="отклонение_15">#REF!</definedName>
    <definedName name="отклонение_18">NA()</definedName>
    <definedName name="отклонение_18_15">NA()</definedName>
    <definedName name="отклонение_2" localSheetId="14">'[1]Вхідні дані'!#REF!</definedName>
    <definedName name="отклонение_2" localSheetId="15">'[1]Вхідні дані'!#REF!</definedName>
    <definedName name="отклонение_2">'[1]Вхідні дані'!#REF!</definedName>
    <definedName name="отклонение_27">NA()</definedName>
    <definedName name="отклонение_31">NA()</definedName>
    <definedName name="отклонение_33">NA()</definedName>
    <definedName name="отклонение_34">NA()</definedName>
    <definedName name="отклонение_35">NA()</definedName>
    <definedName name="отклонение_36">NA()</definedName>
    <definedName name="отклонение_38">NA()</definedName>
    <definedName name="отклонение_4">NA()</definedName>
    <definedName name="охорона_праці">NA()</definedName>
    <definedName name="охорона_праці_15">NA()</definedName>
    <definedName name="пдв" localSheetId="14">'Вхідні дані'!#REF!</definedName>
    <definedName name="пдв" localSheetId="15">'Вхідні дані'!#REF!</definedName>
    <definedName name="пдв">'Вхідні дані'!#REF!</definedName>
    <definedName name="пдв_15" localSheetId="14">#REF!</definedName>
    <definedName name="пдв_15" localSheetId="15">#REF!</definedName>
    <definedName name="пдв_15">#REF!</definedName>
    <definedName name="пдв_18">NA()</definedName>
    <definedName name="пдв_18_15">NA()</definedName>
    <definedName name="пдв_2" localSheetId="14">'[1]Вхідні дані'!#REF!</definedName>
    <definedName name="пдв_2" localSheetId="15">'[1]Вхідні дані'!#REF!</definedName>
    <definedName name="пдв_2">'[1]Вхідні дані'!#REF!</definedName>
    <definedName name="пдв_27">NA()</definedName>
    <definedName name="пдв_31">NA()</definedName>
    <definedName name="пдв_33">NA()</definedName>
    <definedName name="пдв_34">NA()</definedName>
    <definedName name="пдв_35">NA()</definedName>
    <definedName name="пдв_36">NA()</definedName>
    <definedName name="пдв_38">NA()</definedName>
    <definedName name="пдв_4">NA()</definedName>
  </definedNames>
  <calcPr calcId="124519" fullPrecision="0"/>
</workbook>
</file>

<file path=xl/calcChain.xml><?xml version="1.0" encoding="utf-8"?>
<calcChain xmlns="http://schemas.openxmlformats.org/spreadsheetml/2006/main">
  <c r="D14" i="73"/>
  <c r="N14" s="1"/>
  <c r="J14" s="1"/>
  <c r="D15"/>
  <c r="D16"/>
  <c r="D17"/>
  <c r="D18"/>
  <c r="D19"/>
  <c r="D20"/>
  <c r="D22"/>
  <c r="D23"/>
  <c r="D24"/>
  <c r="D25"/>
  <c r="D26"/>
  <c r="D27"/>
  <c r="D28"/>
  <c r="D29"/>
  <c r="D30"/>
  <c r="D31"/>
  <c r="D32"/>
  <c r="D33"/>
  <c r="D34"/>
  <c r="D14" i="7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14" i="75"/>
  <c r="N14" s="1"/>
  <c r="J14" s="1"/>
  <c r="D15"/>
  <c r="N15" s="1"/>
  <c r="J15" s="1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14" i="76"/>
  <c r="D15"/>
  <c r="D16"/>
  <c r="D17"/>
  <c r="D18"/>
  <c r="D19"/>
  <c r="N19" s="1"/>
  <c r="J19" s="1"/>
  <c r="D20"/>
  <c r="N20" s="1"/>
  <c r="J20" s="1"/>
  <c r="D21"/>
  <c r="N21" s="1"/>
  <c r="J21" s="1"/>
  <c r="D22"/>
  <c r="N22" s="1"/>
  <c r="J22" s="1"/>
  <c r="D23"/>
  <c r="N23" s="1"/>
  <c r="J23" s="1"/>
  <c r="D24"/>
  <c r="N24" s="1"/>
  <c r="J24" s="1"/>
  <c r="D25"/>
  <c r="N25" s="1"/>
  <c r="J25" s="1"/>
  <c r="D26"/>
  <c r="N26" s="1"/>
  <c r="J26" s="1"/>
  <c r="D27"/>
  <c r="N27" s="1"/>
  <c r="J27" s="1"/>
  <c r="D28"/>
  <c r="N28" s="1"/>
  <c r="J28" s="1"/>
  <c r="D29"/>
  <c r="N29" s="1"/>
  <c r="J29" s="1"/>
  <c r="D30"/>
  <c r="N30" s="1"/>
  <c r="J30" s="1"/>
  <c r="D31"/>
  <c r="N31" s="1"/>
  <c r="J31" s="1"/>
  <c r="D32"/>
  <c r="N32" s="1"/>
  <c r="J32" s="1"/>
  <c r="D33"/>
  <c r="N33" s="1"/>
  <c r="J33" s="1"/>
  <c r="D34"/>
  <c r="N34" s="1"/>
  <c r="J34" s="1"/>
  <c r="D14" i="77"/>
  <c r="N14" s="1"/>
  <c r="J14" s="1"/>
  <c r="D15"/>
  <c r="N15" s="1"/>
  <c r="J15" s="1"/>
  <c r="D16"/>
  <c r="N16" s="1"/>
  <c r="J16" s="1"/>
  <c r="D17"/>
  <c r="D18"/>
  <c r="D19"/>
  <c r="N19" s="1"/>
  <c r="J19" s="1"/>
  <c r="D20"/>
  <c r="N20" s="1"/>
  <c r="J20" s="1"/>
  <c r="D21"/>
  <c r="N21" s="1"/>
  <c r="J21" s="1"/>
  <c r="D22"/>
  <c r="N22" s="1"/>
  <c r="J22" s="1"/>
  <c r="D23"/>
  <c r="N23" s="1"/>
  <c r="J23" s="1"/>
  <c r="D24"/>
  <c r="N24" s="1"/>
  <c r="J24" s="1"/>
  <c r="D25"/>
  <c r="N25" s="1"/>
  <c r="J25" s="1"/>
  <c r="D26"/>
  <c r="N26" s="1"/>
  <c r="J26" s="1"/>
  <c r="D27"/>
  <c r="N27" s="1"/>
  <c r="J27" s="1"/>
  <c r="D28"/>
  <c r="D29"/>
  <c r="D30"/>
  <c r="D31"/>
  <c r="D32"/>
  <c r="D33"/>
  <c r="D34"/>
  <c r="D14" i="78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14" i="16"/>
  <c r="D15"/>
  <c r="D16"/>
  <c r="D17"/>
  <c r="D18"/>
  <c r="D19"/>
  <c r="D20"/>
  <c r="D21"/>
  <c r="D22"/>
  <c r="D23"/>
  <c r="D24"/>
  <c r="D25"/>
  <c r="D26"/>
  <c r="D27"/>
  <c r="N27" s="1"/>
  <c r="J27" s="1"/>
  <c r="S27" s="1"/>
  <c r="D28"/>
  <c r="N28"/>
  <c r="J28" s="1"/>
  <c r="S28" s="1"/>
  <c r="D29"/>
  <c r="N29"/>
  <c r="J29" s="1"/>
  <c r="S29" s="1"/>
  <c r="D30"/>
  <c r="N30"/>
  <c r="J30" s="1"/>
  <c r="S30" s="1"/>
  <c r="D31"/>
  <c r="N31"/>
  <c r="J31" s="1"/>
  <c r="S31" s="1"/>
  <c r="D32"/>
  <c r="N32"/>
  <c r="J32" s="1"/>
  <c r="S32" s="1"/>
  <c r="D33"/>
  <c r="N33"/>
  <c r="J33" s="1"/>
  <c r="S33" s="1"/>
  <c r="D34"/>
  <c r="N34"/>
  <c r="J34" s="1"/>
  <c r="S34" s="1"/>
  <c r="E14" i="73"/>
  <c r="O14"/>
  <c r="K14" s="1"/>
  <c r="T14" s="1"/>
  <c r="E15"/>
  <c r="O15"/>
  <c r="K15" s="1"/>
  <c r="T15" s="1"/>
  <c r="E16"/>
  <c r="O16"/>
  <c r="K16" s="1"/>
  <c r="T16" s="1"/>
  <c r="E17"/>
  <c r="E18"/>
  <c r="E19"/>
  <c r="O19"/>
  <c r="K19" s="1"/>
  <c r="T19" s="1"/>
  <c r="E20"/>
  <c r="O20"/>
  <c r="K20" s="1"/>
  <c r="T20" s="1"/>
  <c r="E21"/>
  <c r="O21"/>
  <c r="K21" s="1"/>
  <c r="T21" s="1"/>
  <c r="E22"/>
  <c r="O22"/>
  <c r="K22" s="1"/>
  <c r="T22" s="1"/>
  <c r="E23"/>
  <c r="O23"/>
  <c r="K23" s="1"/>
  <c r="T23" s="1"/>
  <c r="E24"/>
  <c r="O24"/>
  <c r="K24" s="1"/>
  <c r="T24" s="1"/>
  <c r="E25"/>
  <c r="O25"/>
  <c r="K25" s="1"/>
  <c r="T25" s="1"/>
  <c r="E26"/>
  <c r="O26"/>
  <c r="K26" s="1"/>
  <c r="T26" s="1"/>
  <c r="E27"/>
  <c r="O27"/>
  <c r="K27" s="1"/>
  <c r="T27" s="1"/>
  <c r="E28"/>
  <c r="O28"/>
  <c r="K28" s="1"/>
  <c r="T28" s="1"/>
  <c r="E29"/>
  <c r="O29"/>
  <c r="K29" s="1"/>
  <c r="T29" s="1"/>
  <c r="E30"/>
  <c r="O30"/>
  <c r="K30" s="1"/>
  <c r="T30" s="1"/>
  <c r="E31"/>
  <c r="O31"/>
  <c r="K31" s="1"/>
  <c r="T31" s="1"/>
  <c r="E32"/>
  <c r="O32"/>
  <c r="K32" s="1"/>
  <c r="T32" s="1"/>
  <c r="E33"/>
  <c r="O33"/>
  <c r="K33" s="1"/>
  <c r="T33" s="1"/>
  <c r="E34"/>
  <c r="O34"/>
  <c r="K34" s="1"/>
  <c r="T34" s="1"/>
  <c r="E14" i="74"/>
  <c r="O14"/>
  <c r="K14" s="1"/>
  <c r="T14" s="1"/>
  <c r="E15"/>
  <c r="O15"/>
  <c r="K15" s="1"/>
  <c r="T15" s="1"/>
  <c r="E16"/>
  <c r="O16"/>
  <c r="K16" s="1"/>
  <c r="T16" s="1"/>
  <c r="E17"/>
  <c r="E18"/>
  <c r="E19"/>
  <c r="O19"/>
  <c r="K19" s="1"/>
  <c r="T19" s="1"/>
  <c r="E20"/>
  <c r="O20"/>
  <c r="K20" s="1"/>
  <c r="T20" s="1"/>
  <c r="E21"/>
  <c r="O21"/>
  <c r="K21" s="1"/>
  <c r="T21" s="1"/>
  <c r="E22"/>
  <c r="O22"/>
  <c r="K22" s="1"/>
  <c r="T22" s="1"/>
  <c r="E23"/>
  <c r="O23"/>
  <c r="K23" s="1"/>
  <c r="T23" s="1"/>
  <c r="E24"/>
  <c r="O24"/>
  <c r="K24" s="1"/>
  <c r="T24" s="1"/>
  <c r="E25"/>
  <c r="O25"/>
  <c r="K25" s="1"/>
  <c r="T25" s="1"/>
  <c r="E26"/>
  <c r="O26"/>
  <c r="K26" s="1"/>
  <c r="T26" s="1"/>
  <c r="E27"/>
  <c r="O27"/>
  <c r="K27" s="1"/>
  <c r="T27" s="1"/>
  <c r="E28"/>
  <c r="O28"/>
  <c r="K28" s="1"/>
  <c r="T28" s="1"/>
  <c r="E29"/>
  <c r="O29"/>
  <c r="K29" s="1"/>
  <c r="T29" s="1"/>
  <c r="E30"/>
  <c r="O30"/>
  <c r="K30" s="1"/>
  <c r="T30" s="1"/>
  <c r="E31"/>
  <c r="O31"/>
  <c r="K31" s="1"/>
  <c r="T31" s="1"/>
  <c r="E32"/>
  <c r="O32"/>
  <c r="K32" s="1"/>
  <c r="T32" s="1"/>
  <c r="E33"/>
  <c r="O33"/>
  <c r="K33" s="1"/>
  <c r="T33" s="1"/>
  <c r="E34"/>
  <c r="O34"/>
  <c r="K34" s="1"/>
  <c r="T34" s="1"/>
  <c r="E14" i="75"/>
  <c r="O14"/>
  <c r="K14" s="1"/>
  <c r="T14" s="1"/>
  <c r="E15"/>
  <c r="O15"/>
  <c r="K15" s="1"/>
  <c r="T15" s="1"/>
  <c r="E16"/>
  <c r="O16"/>
  <c r="K16" s="1"/>
  <c r="T16" s="1"/>
  <c r="E17"/>
  <c r="E18"/>
  <c r="E19"/>
  <c r="O19"/>
  <c r="K19" s="1"/>
  <c r="T19" s="1"/>
  <c r="E20"/>
  <c r="O20"/>
  <c r="K20" s="1"/>
  <c r="T20" s="1"/>
  <c r="E21"/>
  <c r="O21"/>
  <c r="K21" s="1"/>
  <c r="T21" s="1"/>
  <c r="E22"/>
  <c r="O22"/>
  <c r="K22" s="1"/>
  <c r="T22" s="1"/>
  <c r="E23"/>
  <c r="O23"/>
  <c r="K23" s="1"/>
  <c r="T23" s="1"/>
  <c r="E24"/>
  <c r="O24"/>
  <c r="K24" s="1"/>
  <c r="T24" s="1"/>
  <c r="E25"/>
  <c r="O25"/>
  <c r="K25" s="1"/>
  <c r="T25" s="1"/>
  <c r="E26"/>
  <c r="O26"/>
  <c r="K26" s="1"/>
  <c r="T26" s="1"/>
  <c r="E27"/>
  <c r="O27"/>
  <c r="K27" s="1"/>
  <c r="T27" s="1"/>
  <c r="E28"/>
  <c r="O28"/>
  <c r="K28" s="1"/>
  <c r="T28" s="1"/>
  <c r="E29"/>
  <c r="O29"/>
  <c r="K29" s="1"/>
  <c r="T29" s="1"/>
  <c r="E30"/>
  <c r="O30"/>
  <c r="K30" s="1"/>
  <c r="T30" s="1"/>
  <c r="E31"/>
  <c r="O31"/>
  <c r="K31" s="1"/>
  <c r="T31" s="1"/>
  <c r="E32"/>
  <c r="O32"/>
  <c r="K32" s="1"/>
  <c r="T32" s="1"/>
  <c r="E33"/>
  <c r="O33"/>
  <c r="K33" s="1"/>
  <c r="T33" s="1"/>
  <c r="E34"/>
  <c r="O34"/>
  <c r="K34" s="1"/>
  <c r="T34" s="1"/>
  <c r="E14" i="76"/>
  <c r="O14"/>
  <c r="K14" s="1"/>
  <c r="T14" s="1"/>
  <c r="E15"/>
  <c r="O15"/>
  <c r="K15" s="1"/>
  <c r="T15" s="1"/>
  <c r="E16"/>
  <c r="O16"/>
  <c r="K16" s="1"/>
  <c r="T16" s="1"/>
  <c r="E17"/>
  <c r="E18"/>
  <c r="E19"/>
  <c r="O19"/>
  <c r="K19" s="1"/>
  <c r="T19" s="1"/>
  <c r="E20"/>
  <c r="O20"/>
  <c r="K20" s="1"/>
  <c r="T20" s="1"/>
  <c r="E21"/>
  <c r="O21"/>
  <c r="K21" s="1"/>
  <c r="T21" s="1"/>
  <c r="E22"/>
  <c r="O22"/>
  <c r="K22" s="1"/>
  <c r="T22" s="1"/>
  <c r="E23"/>
  <c r="O23"/>
  <c r="K23" s="1"/>
  <c r="T23" s="1"/>
  <c r="E24"/>
  <c r="O24"/>
  <c r="K24" s="1"/>
  <c r="T24" s="1"/>
  <c r="E25"/>
  <c r="O25"/>
  <c r="K25" s="1"/>
  <c r="T25" s="1"/>
  <c r="E26"/>
  <c r="O26"/>
  <c r="K26" s="1"/>
  <c r="T26" s="1"/>
  <c r="E27"/>
  <c r="O27"/>
  <c r="K27" s="1"/>
  <c r="T27" s="1"/>
  <c r="E28"/>
  <c r="O28"/>
  <c r="K28" s="1"/>
  <c r="T28" s="1"/>
  <c r="E29"/>
  <c r="O29"/>
  <c r="K29" s="1"/>
  <c r="T29" s="1"/>
  <c r="E30"/>
  <c r="O30"/>
  <c r="K30" s="1"/>
  <c r="T30" s="1"/>
  <c r="E31"/>
  <c r="O31"/>
  <c r="K31" s="1"/>
  <c r="T31" s="1"/>
  <c r="E32"/>
  <c r="O32"/>
  <c r="K32" s="1"/>
  <c r="T32" s="1"/>
  <c r="E33"/>
  <c r="O33"/>
  <c r="K33" s="1"/>
  <c r="T33" s="1"/>
  <c r="E34"/>
  <c r="O34"/>
  <c r="K34" s="1"/>
  <c r="T34" s="1"/>
  <c r="E14" i="77"/>
  <c r="O14"/>
  <c r="K14" s="1"/>
  <c r="T14" s="1"/>
  <c r="E15"/>
  <c r="O15"/>
  <c r="K15" s="1"/>
  <c r="T15" s="1"/>
  <c r="E16"/>
  <c r="O16"/>
  <c r="K16" s="1"/>
  <c r="T16" s="1"/>
  <c r="E17"/>
  <c r="E18"/>
  <c r="E19"/>
  <c r="O19"/>
  <c r="K19" s="1"/>
  <c r="T19" s="1"/>
  <c r="E20"/>
  <c r="O20"/>
  <c r="K20" s="1"/>
  <c r="T20" s="1"/>
  <c r="E21"/>
  <c r="O21"/>
  <c r="K21" s="1"/>
  <c r="T21" s="1"/>
  <c r="E22"/>
  <c r="O22"/>
  <c r="K22" s="1"/>
  <c r="T22" s="1"/>
  <c r="E23"/>
  <c r="O23"/>
  <c r="K23" s="1"/>
  <c r="T23" s="1"/>
  <c r="E24"/>
  <c r="O24"/>
  <c r="K24" s="1"/>
  <c r="T24" s="1"/>
  <c r="E25"/>
  <c r="O25"/>
  <c r="K25" s="1"/>
  <c r="T25" s="1"/>
  <c r="E26"/>
  <c r="O26"/>
  <c r="K26" s="1"/>
  <c r="T26" s="1"/>
  <c r="E27"/>
  <c r="O27"/>
  <c r="K27" s="1"/>
  <c r="T27" s="1"/>
  <c r="E28"/>
  <c r="O28"/>
  <c r="K28" s="1"/>
  <c r="T28" s="1"/>
  <c r="E29"/>
  <c r="O29"/>
  <c r="K29" s="1"/>
  <c r="T29" s="1"/>
  <c r="E30"/>
  <c r="O30"/>
  <c r="K30" s="1"/>
  <c r="T30" s="1"/>
  <c r="E31"/>
  <c r="O31"/>
  <c r="K31" s="1"/>
  <c r="T31" s="1"/>
  <c r="E32"/>
  <c r="O32"/>
  <c r="K32" s="1"/>
  <c r="T32" s="1"/>
  <c r="E33"/>
  <c r="O33"/>
  <c r="K33" s="1"/>
  <c r="T33" s="1"/>
  <c r="E34"/>
  <c r="O34"/>
  <c r="K34" s="1"/>
  <c r="T34" s="1"/>
  <c r="E14" i="78"/>
  <c r="O14"/>
  <c r="K14" s="1"/>
  <c r="T14" s="1"/>
  <c r="E15"/>
  <c r="O15"/>
  <c r="K15" s="1"/>
  <c r="T15" s="1"/>
  <c r="E16"/>
  <c r="O16"/>
  <c r="K16" s="1"/>
  <c r="T16" s="1"/>
  <c r="E17"/>
  <c r="E18"/>
  <c r="E19"/>
  <c r="O19"/>
  <c r="K19" s="1"/>
  <c r="T19" s="1"/>
  <c r="E20"/>
  <c r="O20"/>
  <c r="K20" s="1"/>
  <c r="T20" s="1"/>
  <c r="E21"/>
  <c r="O21"/>
  <c r="K21" s="1"/>
  <c r="T21" s="1"/>
  <c r="E22"/>
  <c r="O22"/>
  <c r="K22" s="1"/>
  <c r="T22" s="1"/>
  <c r="E23"/>
  <c r="O23"/>
  <c r="K23" s="1"/>
  <c r="T23" s="1"/>
  <c r="E24"/>
  <c r="O24"/>
  <c r="K24" s="1"/>
  <c r="T24" s="1"/>
  <c r="E25"/>
  <c r="O25"/>
  <c r="K25" s="1"/>
  <c r="T25" s="1"/>
  <c r="E26"/>
  <c r="O26"/>
  <c r="K26" s="1"/>
  <c r="T26" s="1"/>
  <c r="E27"/>
  <c r="O27"/>
  <c r="K27" s="1"/>
  <c r="T27" s="1"/>
  <c r="E28"/>
  <c r="O28"/>
  <c r="K28" s="1"/>
  <c r="T28" s="1"/>
  <c r="E29"/>
  <c r="O29"/>
  <c r="K29" s="1"/>
  <c r="T29" s="1"/>
  <c r="E30"/>
  <c r="O30"/>
  <c r="K30" s="1"/>
  <c r="T30" s="1"/>
  <c r="E31"/>
  <c r="O31"/>
  <c r="K31" s="1"/>
  <c r="T31" s="1"/>
  <c r="E32"/>
  <c r="O32"/>
  <c r="K32" s="1"/>
  <c r="T32" s="1"/>
  <c r="E33"/>
  <c r="O33"/>
  <c r="K33" s="1"/>
  <c r="T33" s="1"/>
  <c r="E34"/>
  <c r="O34"/>
  <c r="K34" s="1"/>
  <c r="T34" s="1"/>
  <c r="E14" i="16"/>
  <c r="O14"/>
  <c r="K14" s="1"/>
  <c r="T14" s="1"/>
  <c r="E15"/>
  <c r="O15"/>
  <c r="K15" s="1"/>
  <c r="T15" s="1"/>
  <c r="E16"/>
  <c r="O16"/>
  <c r="K16" s="1"/>
  <c r="T16" s="1"/>
  <c r="E17"/>
  <c r="E18"/>
  <c r="E19"/>
  <c r="O19"/>
  <c r="K19" s="1"/>
  <c r="T19" s="1"/>
  <c r="E20"/>
  <c r="O20"/>
  <c r="K20" s="1"/>
  <c r="T20" s="1"/>
  <c r="E21"/>
  <c r="O21"/>
  <c r="K21" s="1"/>
  <c r="T21" s="1"/>
  <c r="E22"/>
  <c r="O22"/>
  <c r="K22" s="1"/>
  <c r="T22" s="1"/>
  <c r="E23"/>
  <c r="O23" s="1"/>
  <c r="K23" s="1"/>
  <c r="T23" s="1"/>
  <c r="E24"/>
  <c r="O24" s="1"/>
  <c r="K24" s="1"/>
  <c r="T24" s="1"/>
  <c r="E25"/>
  <c r="O25"/>
  <c r="K25" s="1"/>
  <c r="T25" s="1"/>
  <c r="E26"/>
  <c r="O26"/>
  <c r="K26" s="1"/>
  <c r="T26" s="1"/>
  <c r="E27"/>
  <c r="O27" s="1"/>
  <c r="K27" s="1"/>
  <c r="E28"/>
  <c r="O28" s="1"/>
  <c r="K28" s="1"/>
  <c r="T28" s="1"/>
  <c r="E29"/>
  <c r="O29"/>
  <c r="K29" s="1"/>
  <c r="T29" s="1"/>
  <c r="E30"/>
  <c r="O30"/>
  <c r="K30" s="1"/>
  <c r="T30" s="1"/>
  <c r="E31"/>
  <c r="O31" s="1"/>
  <c r="K31" s="1"/>
  <c r="E32"/>
  <c r="O32" s="1"/>
  <c r="K32" s="1"/>
  <c r="T32" s="1"/>
  <c r="E33"/>
  <c r="O33"/>
  <c r="K33" s="1"/>
  <c r="T33" s="1"/>
  <c r="E34"/>
  <c r="O34"/>
  <c r="K34" s="1"/>
  <c r="T34" s="1"/>
  <c r="F14" i="73"/>
  <c r="P14" s="1"/>
  <c r="L14" s="1"/>
  <c r="U14" s="1"/>
  <c r="F15"/>
  <c r="P15" s="1"/>
  <c r="L15" s="1"/>
  <c r="U15" s="1"/>
  <c r="F16"/>
  <c r="P16"/>
  <c r="L16" s="1"/>
  <c r="U16" s="1"/>
  <c r="F17"/>
  <c r="F18"/>
  <c r="F19"/>
  <c r="P19"/>
  <c r="L19" s="1"/>
  <c r="U19" s="1"/>
  <c r="F20"/>
  <c r="P20" s="1"/>
  <c r="L20" s="1"/>
  <c r="U20" s="1"/>
  <c r="F22"/>
  <c r="P22" s="1"/>
  <c r="L22" s="1"/>
  <c r="U22" s="1"/>
  <c r="F23"/>
  <c r="P23" s="1"/>
  <c r="L23" s="1"/>
  <c r="U23" s="1"/>
  <c r="F24"/>
  <c r="P24"/>
  <c r="L24" s="1"/>
  <c r="U24" s="1"/>
  <c r="F25"/>
  <c r="P25"/>
  <c r="L25" s="1"/>
  <c r="U25" s="1"/>
  <c r="F26"/>
  <c r="P26" s="1"/>
  <c r="L26" s="1"/>
  <c r="U26" s="1"/>
  <c r="F27"/>
  <c r="P27" s="1"/>
  <c r="L27" s="1"/>
  <c r="U27" s="1"/>
  <c r="F28"/>
  <c r="P28"/>
  <c r="L28" s="1"/>
  <c r="U28" s="1"/>
  <c r="F29"/>
  <c r="P29"/>
  <c r="L29" s="1"/>
  <c r="U29" s="1"/>
  <c r="F30"/>
  <c r="P30" s="1"/>
  <c r="L30" s="1"/>
  <c r="U30" s="1"/>
  <c r="F31"/>
  <c r="P31" s="1"/>
  <c r="L31" s="1"/>
  <c r="U31" s="1"/>
  <c r="F32"/>
  <c r="P32"/>
  <c r="L32" s="1"/>
  <c r="U32" s="1"/>
  <c r="F33"/>
  <c r="P33"/>
  <c r="L33" s="1"/>
  <c r="U33" s="1"/>
  <c r="F34"/>
  <c r="P34" s="1"/>
  <c r="L34" s="1"/>
  <c r="U34" s="1"/>
  <c r="F14" i="74"/>
  <c r="P14" s="1"/>
  <c r="L14" s="1"/>
  <c r="U14" s="1"/>
  <c r="F15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F14" i="75"/>
  <c r="F15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F14" i="76"/>
  <c r="F15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F14" i="77"/>
  <c r="F15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F14" i="78"/>
  <c r="F15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F14" i="16"/>
  <c r="F15"/>
  <c r="F16"/>
  <c r="F17"/>
  <c r="F19"/>
  <c r="F20"/>
  <c r="F21"/>
  <c r="F22"/>
  <c r="F23"/>
  <c r="F24"/>
  <c r="F25"/>
  <c r="F26"/>
  <c r="F27"/>
  <c r="F28"/>
  <c r="F29"/>
  <c r="F30"/>
  <c r="F31"/>
  <c r="F32"/>
  <c r="F33"/>
  <c r="F34"/>
  <c r="D17" i="17"/>
  <c r="E17"/>
  <c r="F17"/>
  <c r="P17" s="1"/>
  <c r="L17"/>
  <c r="I17" s="1"/>
  <c r="F14"/>
  <c r="F35" s="1"/>
  <c r="F15"/>
  <c r="P15" s="1"/>
  <c r="L15" s="1"/>
  <c r="F16"/>
  <c r="F19"/>
  <c r="P19" s="1"/>
  <c r="L19" s="1"/>
  <c r="F20"/>
  <c r="P20" s="1"/>
  <c r="L20" s="1"/>
  <c r="F21"/>
  <c r="P21" s="1"/>
  <c r="L21" s="1"/>
  <c r="F22"/>
  <c r="F23"/>
  <c r="P23" s="1"/>
  <c r="L23" s="1"/>
  <c r="F24"/>
  <c r="P24" s="1"/>
  <c r="L24" s="1"/>
  <c r="F25"/>
  <c r="F26"/>
  <c r="F27"/>
  <c r="P27" s="1"/>
  <c r="L27" s="1"/>
  <c r="F28"/>
  <c r="F29"/>
  <c r="P29" s="1"/>
  <c r="L29" s="1"/>
  <c r="F30"/>
  <c r="P30" s="1"/>
  <c r="L30" s="1"/>
  <c r="U30" s="1"/>
  <c r="F31"/>
  <c r="P31" s="1"/>
  <c r="L31" s="1"/>
  <c r="F32"/>
  <c r="U32" s="1"/>
  <c r="F33"/>
  <c r="P33" s="1"/>
  <c r="L33" s="1"/>
  <c r="F34"/>
  <c r="P34" s="1"/>
  <c r="L34" s="1"/>
  <c r="U34" s="1"/>
  <c r="D14"/>
  <c r="C14" s="1"/>
  <c r="M14" s="1"/>
  <c r="D15"/>
  <c r="N15" s="1"/>
  <c r="D16"/>
  <c r="N16" s="1"/>
  <c r="J16" s="1"/>
  <c r="D18"/>
  <c r="D19"/>
  <c r="D20"/>
  <c r="D21"/>
  <c r="N21" s="1"/>
  <c r="J21" s="1"/>
  <c r="D22"/>
  <c r="D23"/>
  <c r="D24"/>
  <c r="D25"/>
  <c r="S25" s="1"/>
  <c r="D26"/>
  <c r="D27"/>
  <c r="D28"/>
  <c r="D29"/>
  <c r="N29" s="1"/>
  <c r="J29" s="1"/>
  <c r="D30"/>
  <c r="D31"/>
  <c r="D32"/>
  <c r="D33"/>
  <c r="N33" s="1"/>
  <c r="J33" s="1"/>
  <c r="D34"/>
  <c r="E14"/>
  <c r="O14" s="1"/>
  <c r="K14" s="1"/>
  <c r="T14" s="1"/>
  <c r="E15"/>
  <c r="E16"/>
  <c r="O16" s="1"/>
  <c r="E18"/>
  <c r="E19"/>
  <c r="E20"/>
  <c r="E21"/>
  <c r="E22"/>
  <c r="E23"/>
  <c r="E24"/>
  <c r="E25"/>
  <c r="T25" s="1"/>
  <c r="E26"/>
  <c r="E27"/>
  <c r="E28"/>
  <c r="E29"/>
  <c r="E30"/>
  <c r="E31"/>
  <c r="E32"/>
  <c r="E33"/>
  <c r="E34"/>
  <c r="E35"/>
  <c r="O15"/>
  <c r="K15" s="1"/>
  <c r="O20"/>
  <c r="K20" s="1"/>
  <c r="O22"/>
  <c r="O24"/>
  <c r="K24" s="1"/>
  <c r="K25"/>
  <c r="O25"/>
  <c r="K26"/>
  <c r="O26"/>
  <c r="O28"/>
  <c r="O30"/>
  <c r="K30" s="1"/>
  <c r="O32"/>
  <c r="O34"/>
  <c r="K34" s="1"/>
  <c r="T34" s="1"/>
  <c r="P16"/>
  <c r="L16" s="1"/>
  <c r="P22"/>
  <c r="L22" s="1"/>
  <c r="L25"/>
  <c r="AB25" s="1"/>
  <c r="L26"/>
  <c r="P28"/>
  <c r="L28" s="1"/>
  <c r="P32"/>
  <c r="L32" s="1"/>
  <c r="AB32" s="1"/>
  <c r="N14"/>
  <c r="N19"/>
  <c r="N23"/>
  <c r="J25"/>
  <c r="N25"/>
  <c r="J26"/>
  <c r="N27"/>
  <c r="J27" s="1"/>
  <c r="S27" s="1"/>
  <c r="N31"/>
  <c r="J31" s="1"/>
  <c r="S31" s="1"/>
  <c r="J14"/>
  <c r="S14" s="1"/>
  <c r="J19"/>
  <c r="J23"/>
  <c r="K16"/>
  <c r="T16" s="1"/>
  <c r="K17"/>
  <c r="K22"/>
  <c r="T22" s="1"/>
  <c r="K28"/>
  <c r="T28" s="1"/>
  <c r="K32"/>
  <c r="T32" s="1"/>
  <c r="C24" i="47"/>
  <c r="C25"/>
  <c r="C26"/>
  <c r="C23"/>
  <c r="B23"/>
  <c r="C18"/>
  <c r="C19"/>
  <c r="C20"/>
  <c r="B17"/>
  <c r="C12"/>
  <c r="C11" s="1"/>
  <c r="C13"/>
  <c r="C14"/>
  <c r="B11"/>
  <c r="C15" i="17"/>
  <c r="M15" s="1"/>
  <c r="I15" s="1"/>
  <c r="M17"/>
  <c r="I25"/>
  <c r="S19"/>
  <c r="S23"/>
  <c r="T15"/>
  <c r="T17"/>
  <c r="T26"/>
  <c r="U15"/>
  <c r="U17"/>
  <c r="U25"/>
  <c r="B6" i="96"/>
  <c r="B7"/>
  <c r="B8"/>
  <c r="B9"/>
  <c r="E9" s="1"/>
  <c r="B10"/>
  <c r="B11"/>
  <c r="E11" s="1"/>
  <c r="B12"/>
  <c r="B13"/>
  <c r="C6"/>
  <c r="E6"/>
  <c r="C7"/>
  <c r="D7"/>
  <c r="D13" s="1"/>
  <c r="C8"/>
  <c r="D8"/>
  <c r="E8" s="1"/>
  <c r="C9"/>
  <c r="C10"/>
  <c r="E10" s="1"/>
  <c r="C11"/>
  <c r="C12"/>
  <c r="D12"/>
  <c r="C13"/>
  <c r="G20" i="95"/>
  <c r="P18"/>
  <c r="Q18" s="1"/>
  <c r="P16"/>
  <c r="Q16" s="1"/>
  <c r="P15"/>
  <c r="Q15" s="1"/>
  <c r="P14"/>
  <c r="Q14" s="1"/>
  <c r="E14"/>
  <c r="F14" s="1"/>
  <c r="P13"/>
  <c r="Q13" s="1"/>
  <c r="T11"/>
  <c r="S11"/>
  <c r="U11" s="1"/>
  <c r="V11" s="1"/>
  <c r="V12" s="1"/>
  <c r="P12"/>
  <c r="Q12" s="1"/>
  <c r="P11"/>
  <c r="Q11" s="1"/>
  <c r="P10"/>
  <c r="Q10" s="1"/>
  <c r="P9"/>
  <c r="Q9" s="1"/>
  <c r="P8"/>
  <c r="Q8" s="1"/>
  <c r="G20" i="93"/>
  <c r="P18"/>
  <c r="Q18" s="1"/>
  <c r="P16"/>
  <c r="Q16" s="1"/>
  <c r="P15"/>
  <c r="Q15" s="1"/>
  <c r="P14"/>
  <c r="Q14" s="1"/>
  <c r="E14"/>
  <c r="F14" s="1"/>
  <c r="P13"/>
  <c r="Q13" s="1"/>
  <c r="T11"/>
  <c r="S11"/>
  <c r="U11"/>
  <c r="P12"/>
  <c r="Q12" s="1"/>
  <c r="P11"/>
  <c r="Q11" s="1"/>
  <c r="P10"/>
  <c r="Q10" s="1"/>
  <c r="P9"/>
  <c r="Q9" s="1"/>
  <c r="P8"/>
  <c r="Q8" s="1"/>
  <c r="H7" i="94"/>
  <c r="H8"/>
  <c r="H9"/>
  <c r="H10"/>
  <c r="H11"/>
  <c r="E7"/>
  <c r="E8"/>
  <c r="E13" s="1"/>
  <c r="D21" i="5" s="1"/>
  <c r="E9" i="94"/>
  <c r="E10"/>
  <c r="E11"/>
  <c r="E12"/>
  <c r="H12"/>
  <c r="G18" i="17"/>
  <c r="H18" s="1"/>
  <c r="AB15"/>
  <c r="AB16"/>
  <c r="AB26"/>
  <c r="AB37"/>
  <c r="AA37"/>
  <c r="Z37"/>
  <c r="Y37"/>
  <c r="G17"/>
  <c r="V22"/>
  <c r="J27" i="85"/>
  <c r="K27" s="1"/>
  <c r="L27" s="1"/>
  <c r="M27" s="1"/>
  <c r="J26"/>
  <c r="K26" s="1"/>
  <c r="L26" s="1"/>
  <c r="M26" s="1"/>
  <c r="J25"/>
  <c r="K25" s="1"/>
  <c r="L25" s="1"/>
  <c r="M25" s="1"/>
  <c r="J24"/>
  <c r="K24" s="1"/>
  <c r="L24" s="1"/>
  <c r="M24" s="1"/>
  <c r="J23"/>
  <c r="K23" s="1"/>
  <c r="L23" s="1"/>
  <c r="M23" s="1"/>
  <c r="J22"/>
  <c r="K22" s="1"/>
  <c r="L22" s="1"/>
  <c r="M22" s="1"/>
  <c r="J21"/>
  <c r="K21" s="1"/>
  <c r="L21" s="1"/>
  <c r="M21" s="1"/>
  <c r="J20"/>
  <c r="K20" s="1"/>
  <c r="L20" s="1"/>
  <c r="M20" s="1"/>
  <c r="J19"/>
  <c r="K19" s="1"/>
  <c r="L19" s="1"/>
  <c r="M19" s="1"/>
  <c r="J18"/>
  <c r="K18" s="1"/>
  <c r="L18" s="1"/>
  <c r="M18" s="1"/>
  <c r="J17"/>
  <c r="K17" s="1"/>
  <c r="L17" s="1"/>
  <c r="M17" s="1"/>
  <c r="J16"/>
  <c r="K16" s="1"/>
  <c r="L16" s="1"/>
  <c r="M16" s="1"/>
  <c r="J15"/>
  <c r="K15" s="1"/>
  <c r="L15" s="1"/>
  <c r="M15" s="1"/>
  <c r="J14"/>
  <c r="K14" s="1"/>
  <c r="L14" s="1"/>
  <c r="M14" s="1"/>
  <c r="J13"/>
  <c r="K13" s="1"/>
  <c r="L13" s="1"/>
  <c r="M13" s="1"/>
  <c r="J12"/>
  <c r="K12" s="1"/>
  <c r="L12" s="1"/>
  <c r="M12" s="1"/>
  <c r="J11"/>
  <c r="K11" s="1"/>
  <c r="L11" s="1"/>
  <c r="M11" s="1"/>
  <c r="J10"/>
  <c r="K10" s="1"/>
  <c r="L10" s="1"/>
  <c r="M10" s="1"/>
  <c r="J9"/>
  <c r="K9" s="1"/>
  <c r="L9" s="1"/>
  <c r="M9" s="1"/>
  <c r="J8"/>
  <c r="K8" s="1"/>
  <c r="L8" s="1"/>
  <c r="M8" s="1"/>
  <c r="J7"/>
  <c r="K7" s="1"/>
  <c r="L7" s="1"/>
  <c r="M7" s="1"/>
  <c r="J6"/>
  <c r="K6" s="1"/>
  <c r="L6" s="1"/>
  <c r="M6" s="1"/>
  <c r="G17" i="16"/>
  <c r="G18"/>
  <c r="H18" s="1"/>
  <c r="C14"/>
  <c r="M14" s="1"/>
  <c r="I14" s="1"/>
  <c r="R14" s="1"/>
  <c r="C15"/>
  <c r="M15"/>
  <c r="I15" s="1"/>
  <c r="C16"/>
  <c r="M16"/>
  <c r="I16" s="1"/>
  <c r="R16" s="1"/>
  <c r="Q16" s="1"/>
  <c r="Y16" s="1"/>
  <c r="C17"/>
  <c r="C18"/>
  <c r="C19"/>
  <c r="M19" s="1"/>
  <c r="I19" s="1"/>
  <c r="C20"/>
  <c r="M20" s="1"/>
  <c r="I20" s="1"/>
  <c r="R20" s="1"/>
  <c r="Q20" s="1"/>
  <c r="Y20" s="1"/>
  <c r="C21"/>
  <c r="M21"/>
  <c r="I21" s="1"/>
  <c r="C22"/>
  <c r="M22"/>
  <c r="I22" s="1"/>
  <c r="R22" s="1"/>
  <c r="C23"/>
  <c r="M23" s="1"/>
  <c r="I23" s="1"/>
  <c r="C24"/>
  <c r="M24" s="1"/>
  <c r="I24" s="1"/>
  <c r="R24" s="1"/>
  <c r="Q24" s="1"/>
  <c r="Y24" s="1"/>
  <c r="C25"/>
  <c r="M25"/>
  <c r="I25" s="1"/>
  <c r="C26"/>
  <c r="M26"/>
  <c r="I26" s="1"/>
  <c r="R26" s="1"/>
  <c r="C27"/>
  <c r="M27" s="1"/>
  <c r="I27" s="1"/>
  <c r="C28"/>
  <c r="M28" s="1"/>
  <c r="I28" s="1"/>
  <c r="C29"/>
  <c r="M29"/>
  <c r="I29" s="1"/>
  <c r="C30"/>
  <c r="M30"/>
  <c r="I30" s="1"/>
  <c r="R30" s="1"/>
  <c r="C31"/>
  <c r="M31" s="1"/>
  <c r="I31" s="1"/>
  <c r="C32"/>
  <c r="M32" s="1"/>
  <c r="I32" s="1"/>
  <c r="R32"/>
  <c r="C33"/>
  <c r="M33"/>
  <c r="I33" s="1"/>
  <c r="C34"/>
  <c r="M34"/>
  <c r="I34" s="1"/>
  <c r="R34" s="1"/>
  <c r="U39"/>
  <c r="R39"/>
  <c r="U37"/>
  <c r="F35"/>
  <c r="E35"/>
  <c r="D35"/>
  <c r="Z30"/>
  <c r="AA28"/>
  <c r="AA29"/>
  <c r="AA30"/>
  <c r="AA32"/>
  <c r="AA33"/>
  <c r="V22"/>
  <c r="N4"/>
  <c r="G17" i="78"/>
  <c r="G18"/>
  <c r="H18" s="1"/>
  <c r="C14"/>
  <c r="M14" s="1"/>
  <c r="I14" s="1"/>
  <c r="C15"/>
  <c r="M15"/>
  <c r="I15" s="1"/>
  <c r="R15" s="1"/>
  <c r="C16"/>
  <c r="M16"/>
  <c r="I16" s="1"/>
  <c r="R16" s="1"/>
  <c r="Q16" s="1"/>
  <c r="C17"/>
  <c r="C18"/>
  <c r="C19"/>
  <c r="M19" s="1"/>
  <c r="I19" s="1"/>
  <c r="R19" s="1"/>
  <c r="C20"/>
  <c r="M20" s="1"/>
  <c r="I20" s="1"/>
  <c r="R20"/>
  <c r="Q20" s="1"/>
  <c r="C21"/>
  <c r="M21"/>
  <c r="I21" s="1"/>
  <c r="R21" s="1"/>
  <c r="Q21" s="1"/>
  <c r="C22"/>
  <c r="M22"/>
  <c r="I22" s="1"/>
  <c r="R22" s="1"/>
  <c r="Q22" s="1"/>
  <c r="C23"/>
  <c r="M23" s="1"/>
  <c r="I23" s="1"/>
  <c r="R23" s="1"/>
  <c r="C24"/>
  <c r="M24" s="1"/>
  <c r="I24" s="1"/>
  <c r="C25"/>
  <c r="M25"/>
  <c r="I25" s="1"/>
  <c r="R25" s="1"/>
  <c r="C26"/>
  <c r="M26"/>
  <c r="I26" s="1"/>
  <c r="R26" s="1"/>
  <c r="C27"/>
  <c r="M27" s="1"/>
  <c r="I27" s="1"/>
  <c r="R27" s="1"/>
  <c r="C28"/>
  <c r="M28" s="1"/>
  <c r="I28" s="1"/>
  <c r="R28"/>
  <c r="C29"/>
  <c r="M29"/>
  <c r="I29" s="1"/>
  <c r="R29" s="1"/>
  <c r="C30"/>
  <c r="M30"/>
  <c r="I30" s="1"/>
  <c r="R30" s="1"/>
  <c r="Q30" s="1"/>
  <c r="C31"/>
  <c r="M31" s="1"/>
  <c r="I31" s="1"/>
  <c r="R31" s="1"/>
  <c r="C32"/>
  <c r="M32" s="1"/>
  <c r="I32" s="1"/>
  <c r="C33"/>
  <c r="M33"/>
  <c r="I33" s="1"/>
  <c r="R33" s="1"/>
  <c r="C34"/>
  <c r="M34"/>
  <c r="I34" s="1"/>
  <c r="R34" s="1"/>
  <c r="Q26"/>
  <c r="Q34"/>
  <c r="F35"/>
  <c r="E35"/>
  <c r="D35"/>
  <c r="C35"/>
  <c r="Y34"/>
  <c r="Y33"/>
  <c r="Y32"/>
  <c r="Y31"/>
  <c r="Y30"/>
  <c r="Y29"/>
  <c r="Y28"/>
  <c r="Y27"/>
  <c r="Y26"/>
  <c r="Y25"/>
  <c r="Y24"/>
  <c r="Y23"/>
  <c r="Y22"/>
  <c r="V22"/>
  <c r="Y21"/>
  <c r="Y19"/>
  <c r="Y18"/>
  <c r="Y17"/>
  <c r="Y16"/>
  <c r="Y15"/>
  <c r="Y14"/>
  <c r="N4"/>
  <c r="G17" i="77"/>
  <c r="H17" s="1"/>
  <c r="O17" s="1"/>
  <c r="K17" s="1"/>
  <c r="G18"/>
  <c r="C14"/>
  <c r="M14"/>
  <c r="C15"/>
  <c r="M15"/>
  <c r="I15" s="1"/>
  <c r="R15" s="1"/>
  <c r="C16"/>
  <c r="M16"/>
  <c r="I16" s="1"/>
  <c r="R16" s="1"/>
  <c r="C17"/>
  <c r="C18"/>
  <c r="C19"/>
  <c r="M19"/>
  <c r="I19" s="1"/>
  <c r="R19" s="1"/>
  <c r="C20"/>
  <c r="M20"/>
  <c r="I20" s="1"/>
  <c r="R20" s="1"/>
  <c r="C21"/>
  <c r="M21" s="1"/>
  <c r="I21" s="1"/>
  <c r="R21" s="1"/>
  <c r="C22"/>
  <c r="M22" s="1"/>
  <c r="I22" s="1"/>
  <c r="C23"/>
  <c r="M23"/>
  <c r="I23" s="1"/>
  <c r="R23" s="1"/>
  <c r="C24"/>
  <c r="M24"/>
  <c r="I24" s="1"/>
  <c r="R24" s="1"/>
  <c r="C25"/>
  <c r="M25" s="1"/>
  <c r="I25" s="1"/>
  <c r="R25" s="1"/>
  <c r="C26"/>
  <c r="M26" s="1"/>
  <c r="I26" s="1"/>
  <c r="R26"/>
  <c r="C27"/>
  <c r="M27"/>
  <c r="I27" s="1"/>
  <c r="R27" s="1"/>
  <c r="C28"/>
  <c r="M28"/>
  <c r="I28" s="1"/>
  <c r="R28" s="1"/>
  <c r="C29"/>
  <c r="M29" s="1"/>
  <c r="I29" s="1"/>
  <c r="R29" s="1"/>
  <c r="C30"/>
  <c r="M30" s="1"/>
  <c r="I30" s="1"/>
  <c r="C31"/>
  <c r="M31"/>
  <c r="I31" s="1"/>
  <c r="R31" s="1"/>
  <c r="C32"/>
  <c r="M32"/>
  <c r="I32" s="1"/>
  <c r="R32" s="1"/>
  <c r="C33"/>
  <c r="M33" s="1"/>
  <c r="I33" s="1"/>
  <c r="R33" s="1"/>
  <c r="C34"/>
  <c r="M34" s="1"/>
  <c r="I34" s="1"/>
  <c r="R34"/>
  <c r="F35"/>
  <c r="E35"/>
  <c r="D35"/>
  <c r="V22"/>
  <c r="N4"/>
  <c r="G17" i="76"/>
  <c r="H17" s="1"/>
  <c r="O17" s="1"/>
  <c r="K17" s="1"/>
  <c r="G18"/>
  <c r="H18" s="1"/>
  <c r="O18" s="1"/>
  <c r="K18" s="1"/>
  <c r="T18" s="1"/>
  <c r="O35"/>
  <c r="C14"/>
  <c r="M14"/>
  <c r="C15"/>
  <c r="M15"/>
  <c r="I15" s="1"/>
  <c r="C16"/>
  <c r="C17"/>
  <c r="C18"/>
  <c r="M18"/>
  <c r="I18" s="1"/>
  <c r="R18" s="1"/>
  <c r="C19"/>
  <c r="M19"/>
  <c r="I19" s="1"/>
  <c r="R19" s="1"/>
  <c r="Q19" s="1"/>
  <c r="C20"/>
  <c r="M20" s="1"/>
  <c r="I20" s="1"/>
  <c r="R20" s="1"/>
  <c r="C21"/>
  <c r="C22"/>
  <c r="M22"/>
  <c r="I22" s="1"/>
  <c r="R22" s="1"/>
  <c r="C23"/>
  <c r="M23"/>
  <c r="I23" s="1"/>
  <c r="R23" s="1"/>
  <c r="Z23" s="1"/>
  <c r="C24"/>
  <c r="M24" s="1"/>
  <c r="I24" s="1"/>
  <c r="R24" s="1"/>
  <c r="C25"/>
  <c r="M25" s="1"/>
  <c r="I25" s="1"/>
  <c r="R25"/>
  <c r="C26"/>
  <c r="M26"/>
  <c r="I26" s="1"/>
  <c r="R26" s="1"/>
  <c r="C27"/>
  <c r="M27"/>
  <c r="I27" s="1"/>
  <c r="R27" s="1"/>
  <c r="C28"/>
  <c r="M28" s="1"/>
  <c r="I28" s="1"/>
  <c r="R28" s="1"/>
  <c r="C29"/>
  <c r="M29" s="1"/>
  <c r="I29" s="1"/>
  <c r="C30"/>
  <c r="M30"/>
  <c r="I30" s="1"/>
  <c r="R30" s="1"/>
  <c r="C31"/>
  <c r="M31"/>
  <c r="I31" s="1"/>
  <c r="R31" s="1"/>
  <c r="Z31" s="1"/>
  <c r="C32"/>
  <c r="M32" s="1"/>
  <c r="I32" s="1"/>
  <c r="R32" s="1"/>
  <c r="C33"/>
  <c r="M33" s="1"/>
  <c r="I33" s="1"/>
  <c r="R33"/>
  <c r="C34"/>
  <c r="M34"/>
  <c r="I34" s="1"/>
  <c r="R34" s="1"/>
  <c r="F35"/>
  <c r="E35"/>
  <c r="D35"/>
  <c r="Z27"/>
  <c r="V22"/>
  <c r="N4"/>
  <c r="G17" i="75"/>
  <c r="G18"/>
  <c r="H18" s="1"/>
  <c r="U40"/>
  <c r="R40"/>
  <c r="C14"/>
  <c r="C15"/>
  <c r="M15"/>
  <c r="I15" s="1"/>
  <c r="R15" s="1"/>
  <c r="C16"/>
  <c r="M16"/>
  <c r="I16" s="1"/>
  <c r="R16" s="1"/>
  <c r="C17"/>
  <c r="C18"/>
  <c r="C19"/>
  <c r="M19" s="1"/>
  <c r="I19" s="1"/>
  <c r="R19" s="1"/>
  <c r="C20"/>
  <c r="M20" s="1"/>
  <c r="I20" s="1"/>
  <c r="C21"/>
  <c r="M21"/>
  <c r="I21" s="1"/>
  <c r="R21" s="1"/>
  <c r="Q21" s="1"/>
  <c r="C22"/>
  <c r="M22"/>
  <c r="I22" s="1"/>
  <c r="C23"/>
  <c r="M23" s="1"/>
  <c r="I23" s="1"/>
  <c r="R23" s="1"/>
  <c r="C24"/>
  <c r="M24" s="1"/>
  <c r="I24" s="1"/>
  <c r="R24"/>
  <c r="Q24" s="1"/>
  <c r="C25"/>
  <c r="M25"/>
  <c r="I25" s="1"/>
  <c r="R25" s="1"/>
  <c r="C26"/>
  <c r="M26"/>
  <c r="I26" s="1"/>
  <c r="C27"/>
  <c r="M27" s="1"/>
  <c r="I27" s="1"/>
  <c r="R27" s="1"/>
  <c r="C28"/>
  <c r="M28" s="1"/>
  <c r="I28" s="1"/>
  <c r="C29"/>
  <c r="M29"/>
  <c r="I29" s="1"/>
  <c r="R29" s="1"/>
  <c r="C30"/>
  <c r="M30"/>
  <c r="I30" s="1"/>
  <c r="C31"/>
  <c r="M31" s="1"/>
  <c r="I31" s="1"/>
  <c r="R31" s="1"/>
  <c r="C32"/>
  <c r="M32" s="1"/>
  <c r="I32" s="1"/>
  <c r="R32"/>
  <c r="Q32" s="1"/>
  <c r="C33"/>
  <c r="M33"/>
  <c r="I33" s="1"/>
  <c r="R33" s="1"/>
  <c r="C34"/>
  <c r="M34"/>
  <c r="I34" s="1"/>
  <c r="R34" s="1"/>
  <c r="Q34" s="1"/>
  <c r="Y24"/>
  <c r="Y32"/>
  <c r="U38"/>
  <c r="F35"/>
  <c r="E35"/>
  <c r="D35"/>
  <c r="V22"/>
  <c r="N4"/>
  <c r="G17" i="74"/>
  <c r="H17"/>
  <c r="O17" s="1"/>
  <c r="G18"/>
  <c r="H18"/>
  <c r="C14"/>
  <c r="C15"/>
  <c r="C16"/>
  <c r="C17"/>
  <c r="C18"/>
  <c r="C19"/>
  <c r="C20"/>
  <c r="C21"/>
  <c r="R21" s="1"/>
  <c r="C22"/>
  <c r="C23"/>
  <c r="C24"/>
  <c r="C25"/>
  <c r="C26"/>
  <c r="C27"/>
  <c r="C28"/>
  <c r="C29"/>
  <c r="C30"/>
  <c r="C31"/>
  <c r="C32"/>
  <c r="C33"/>
  <c r="C34"/>
  <c r="M21"/>
  <c r="G35"/>
  <c r="F35"/>
  <c r="E35"/>
  <c r="D35"/>
  <c r="V22"/>
  <c r="G17" i="73"/>
  <c r="G18"/>
  <c r="H18" s="1"/>
  <c r="P21"/>
  <c r="L21" s="1"/>
  <c r="U21" s="1"/>
  <c r="N21"/>
  <c r="J21" s="1"/>
  <c r="S21" s="1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F35"/>
  <c r="E35"/>
  <c r="D35"/>
  <c r="V22"/>
  <c r="N4"/>
  <c r="C9" i="72"/>
  <c r="Q8"/>
  <c r="B9"/>
  <c r="D9"/>
  <c r="Q7"/>
  <c r="G52"/>
  <c r="R8"/>
  <c r="S8"/>
  <c r="S7"/>
  <c r="T8"/>
  <c r="U8"/>
  <c r="U7"/>
  <c r="V8"/>
  <c r="V7"/>
  <c r="W8"/>
  <c r="W7"/>
  <c r="W9"/>
  <c r="AJ25"/>
  <c r="AJ33"/>
  <c r="AJ41"/>
  <c r="AJ56"/>
  <c r="AJ64"/>
  <c r="AI22"/>
  <c r="AI42"/>
  <c r="D52"/>
  <c r="J52"/>
  <c r="D23"/>
  <c r="D44"/>
  <c r="D66" s="1"/>
  <c r="G23"/>
  <c r="G44"/>
  <c r="J44"/>
  <c r="J66" s="1"/>
  <c r="AK55"/>
  <c r="AK57"/>
  <c r="AI59"/>
  <c r="AK59"/>
  <c r="AI61"/>
  <c r="AK61"/>
  <c r="AI63"/>
  <c r="AK63"/>
  <c r="AI65"/>
  <c r="AK65"/>
  <c r="AI26"/>
  <c r="AK26"/>
  <c r="AI24"/>
  <c r="AK24"/>
  <c r="AI18"/>
  <c r="AK18"/>
  <c r="AI16"/>
  <c r="AK16"/>
  <c r="AI14"/>
  <c r="AK14"/>
  <c r="AK21"/>
  <c r="AI54"/>
  <c r="AK54"/>
  <c r="O13"/>
  <c r="O16"/>
  <c r="L17"/>
  <c r="O17"/>
  <c r="O18"/>
  <c r="O19"/>
  <c r="O21"/>
  <c r="O22"/>
  <c r="O23" s="1"/>
  <c r="I25"/>
  <c r="O25" s="1"/>
  <c r="I26"/>
  <c r="O26" s="1"/>
  <c r="O27"/>
  <c r="F28"/>
  <c r="F29"/>
  <c r="F30"/>
  <c r="F31"/>
  <c r="F32"/>
  <c r="F33"/>
  <c r="I44"/>
  <c r="L44"/>
  <c r="F45"/>
  <c r="F52" s="1"/>
  <c r="O52" s="1"/>
  <c r="L52"/>
  <c r="O53"/>
  <c r="O54"/>
  <c r="O55"/>
  <c r="O63"/>
  <c r="H13"/>
  <c r="N13" s="1"/>
  <c r="M14"/>
  <c r="N14" s="1"/>
  <c r="H16"/>
  <c r="N16" s="1"/>
  <c r="N17"/>
  <c r="H18"/>
  <c r="N18" s="1"/>
  <c r="H19"/>
  <c r="N19" s="1"/>
  <c r="N21"/>
  <c r="H22"/>
  <c r="N22" s="1"/>
  <c r="M24"/>
  <c r="N24" s="1"/>
  <c r="N25"/>
  <c r="N26"/>
  <c r="H27"/>
  <c r="N27" s="1"/>
  <c r="H34"/>
  <c r="H36"/>
  <c r="H40"/>
  <c r="H41"/>
  <c r="K42"/>
  <c r="K43"/>
  <c r="K44"/>
  <c r="K66" s="1"/>
  <c r="H47"/>
  <c r="H48"/>
  <c r="H49"/>
  <c r="N49" s="1"/>
  <c r="K52"/>
  <c r="N53"/>
  <c r="N54"/>
  <c r="N55"/>
  <c r="N56"/>
  <c r="N57"/>
  <c r="M58"/>
  <c r="N58" s="1"/>
  <c r="M60"/>
  <c r="N60" s="1"/>
  <c r="H64"/>
  <c r="N63" s="1"/>
  <c r="M13"/>
  <c r="M16"/>
  <c r="M17"/>
  <c r="M18"/>
  <c r="M19"/>
  <c r="M21"/>
  <c r="M22"/>
  <c r="M23" s="1"/>
  <c r="M25"/>
  <c r="M26"/>
  <c r="M27"/>
  <c r="M52"/>
  <c r="M53"/>
  <c r="M54"/>
  <c r="M55"/>
  <c r="M57"/>
  <c r="M63"/>
  <c r="L66"/>
  <c r="I23"/>
  <c r="I66" s="1"/>
  <c r="H56"/>
  <c r="H60"/>
  <c r="H24"/>
  <c r="H23"/>
  <c r="F23"/>
  <c r="E66"/>
  <c r="AI51"/>
  <c r="AI48"/>
  <c r="AJ48"/>
  <c r="AK48"/>
  <c r="N48"/>
  <c r="AK47"/>
  <c r="M47"/>
  <c r="N47" s="1"/>
  <c r="AI46"/>
  <c r="AJ46"/>
  <c r="AK46"/>
  <c r="O45"/>
  <c r="M45"/>
  <c r="E44"/>
  <c r="N43"/>
  <c r="M43"/>
  <c r="N42"/>
  <c r="M42"/>
  <c r="M41"/>
  <c r="N41" s="1"/>
  <c r="M40"/>
  <c r="N40" s="1"/>
  <c r="M39"/>
  <c r="N39"/>
  <c r="M38"/>
  <c r="N38" s="1"/>
  <c r="M37"/>
  <c r="N37" s="1"/>
  <c r="M36"/>
  <c r="N36" s="1"/>
  <c r="M35"/>
  <c r="N35"/>
  <c r="M34"/>
  <c r="N34" s="1"/>
  <c r="M33"/>
  <c r="O33" s="1"/>
  <c r="M32"/>
  <c r="O32" s="1"/>
  <c r="M31"/>
  <c r="O31"/>
  <c r="M30"/>
  <c r="O30" s="1"/>
  <c r="M29"/>
  <c r="O29" s="1"/>
  <c r="M28"/>
  <c r="O28" s="1"/>
  <c r="X8"/>
  <c r="X7"/>
  <c r="D51" i="71"/>
  <c r="D43"/>
  <c r="D19"/>
  <c r="D65"/>
  <c r="J70" s="1"/>
  <c r="G51"/>
  <c r="G43"/>
  <c r="G19"/>
  <c r="G65"/>
  <c r="J51"/>
  <c r="J43"/>
  <c r="J65" s="1"/>
  <c r="F44"/>
  <c r="F51" s="1"/>
  <c r="O51" s="1"/>
  <c r="L51"/>
  <c r="O52"/>
  <c r="O53"/>
  <c r="O54"/>
  <c r="O62"/>
  <c r="F24"/>
  <c r="F25"/>
  <c r="F26"/>
  <c r="F27"/>
  <c r="F28"/>
  <c r="F29"/>
  <c r="I43"/>
  <c r="L43"/>
  <c r="O23"/>
  <c r="I22"/>
  <c r="O22" s="1"/>
  <c r="I21"/>
  <c r="O21" s="1"/>
  <c r="O15"/>
  <c r="O14"/>
  <c r="L13"/>
  <c r="O13" s="1"/>
  <c r="O12"/>
  <c r="O9"/>
  <c r="O17"/>
  <c r="O18"/>
  <c r="O19"/>
  <c r="H46"/>
  <c r="H47"/>
  <c r="N47" s="1"/>
  <c r="H48"/>
  <c r="N48" s="1"/>
  <c r="K51"/>
  <c r="N52"/>
  <c r="N53"/>
  <c r="N54"/>
  <c r="N55"/>
  <c r="N56"/>
  <c r="M57"/>
  <c r="N57" s="1"/>
  <c r="M59"/>
  <c r="N59" s="1"/>
  <c r="H63"/>
  <c r="N62" s="1"/>
  <c r="H30"/>
  <c r="H43" s="1"/>
  <c r="H34"/>
  <c r="H38"/>
  <c r="H39"/>
  <c r="H40"/>
  <c r="K41"/>
  <c r="K42"/>
  <c r="H23"/>
  <c r="N23"/>
  <c r="N22"/>
  <c r="N21"/>
  <c r="H15"/>
  <c r="N15"/>
  <c r="H14"/>
  <c r="N14"/>
  <c r="N13"/>
  <c r="H12"/>
  <c r="N12" s="1"/>
  <c r="M10"/>
  <c r="N10" s="1"/>
  <c r="H9"/>
  <c r="N9" s="1"/>
  <c r="N17"/>
  <c r="H18"/>
  <c r="N18" s="1"/>
  <c r="M20"/>
  <c r="N20" s="1"/>
  <c r="M51"/>
  <c r="M52"/>
  <c r="M53"/>
  <c r="M54"/>
  <c r="M56"/>
  <c r="M62"/>
  <c r="M23"/>
  <c r="M22"/>
  <c r="M21"/>
  <c r="M15"/>
  <c r="M14"/>
  <c r="M13"/>
  <c r="M12"/>
  <c r="M9"/>
  <c r="M17"/>
  <c r="M18"/>
  <c r="M19" s="1"/>
  <c r="L65"/>
  <c r="I19"/>
  <c r="H55"/>
  <c r="H59"/>
  <c r="H19"/>
  <c r="H20"/>
  <c r="F19"/>
  <c r="E43"/>
  <c r="E65"/>
  <c r="M46"/>
  <c r="N46" s="1"/>
  <c r="O44"/>
  <c r="M44"/>
  <c r="N42"/>
  <c r="M42"/>
  <c r="N41"/>
  <c r="M4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9"/>
  <c r="O29" s="1"/>
  <c r="M28"/>
  <c r="O28" s="1"/>
  <c r="M27"/>
  <c r="O27" s="1"/>
  <c r="M26"/>
  <c r="O26" s="1"/>
  <c r="M25"/>
  <c r="O25" s="1"/>
  <c r="M24"/>
  <c r="O24" s="1"/>
  <c r="D5" i="5"/>
  <c r="D9"/>
  <c r="D13"/>
  <c r="B32" i="47"/>
  <c r="I33" s="1"/>
  <c r="J35" i="70"/>
  <c r="I20"/>
  <c r="I21"/>
  <c r="I25"/>
  <c r="I26"/>
  <c r="I32"/>
  <c r="H35"/>
  <c r="G35"/>
  <c r="D35"/>
  <c r="C35"/>
  <c r="D52" i="5"/>
  <c r="D58"/>
  <c r="D53"/>
  <c r="D51" s="1"/>
  <c r="D54"/>
  <c r="D55"/>
  <c r="D56"/>
  <c r="D30"/>
  <c r="B37" i="47"/>
  <c r="E30" i="5"/>
  <c r="E38" s="1"/>
  <c r="D18"/>
  <c r="F53"/>
  <c r="F54"/>
  <c r="F55"/>
  <c r="F56"/>
  <c r="F57"/>
  <c r="F58"/>
  <c r="F52"/>
  <c r="E53"/>
  <c r="E52"/>
  <c r="E54"/>
  <c r="E55"/>
  <c r="E56"/>
  <c r="E57"/>
  <c r="E58"/>
  <c r="D57"/>
  <c r="F30"/>
  <c r="F38" s="1"/>
  <c r="D38"/>
  <c r="D32" i="47"/>
  <c r="AJ14" i="72" l="1"/>
  <c r="AJ15"/>
  <c r="AJ21"/>
  <c r="AJ27"/>
  <c r="AJ31"/>
  <c r="AJ35"/>
  <c r="AJ39"/>
  <c r="AJ43"/>
  <c r="AJ54"/>
  <c r="AJ58"/>
  <c r="AJ62"/>
  <c r="AI21"/>
  <c r="AI23" s="1"/>
  <c r="R26" i="75"/>
  <c r="Q26" s="1"/>
  <c r="Y26"/>
  <c r="M21" i="76"/>
  <c r="I21" s="1"/>
  <c r="R15"/>
  <c r="Q15" s="1"/>
  <c r="Y15"/>
  <c r="H18" i="77"/>
  <c r="G35"/>
  <c r="U22" i="17"/>
  <c r="AB22"/>
  <c r="Q9" i="72"/>
  <c r="S9"/>
  <c r="H17" i="73"/>
  <c r="G35"/>
  <c r="R30" i="75"/>
  <c r="Q30" s="1"/>
  <c r="Y30"/>
  <c r="R22"/>
  <c r="Q22" s="1"/>
  <c r="Y22"/>
  <c r="M14"/>
  <c r="I14" s="1"/>
  <c r="R14" s="1"/>
  <c r="Z14" s="1"/>
  <c r="C35"/>
  <c r="M16" i="76"/>
  <c r="I16" s="1"/>
  <c r="R16" s="1"/>
  <c r="C35"/>
  <c r="M17" i="77"/>
  <c r="I17" s="1"/>
  <c r="R17" s="1"/>
  <c r="C35"/>
  <c r="T31" i="16"/>
  <c r="AA31"/>
  <c r="T27"/>
  <c r="AA27"/>
  <c r="E51" i="5"/>
  <c r="K43" i="71"/>
  <c r="N43" s="1"/>
  <c r="H52" i="72"/>
  <c r="N52" s="1"/>
  <c r="H44"/>
  <c r="N44" s="1"/>
  <c r="N23"/>
  <c r="F44"/>
  <c r="O44" s="1"/>
  <c r="AI57"/>
  <c r="AI55"/>
  <c r="G66"/>
  <c r="S52"/>
  <c r="Q52"/>
  <c r="AJ60"/>
  <c r="AJ52"/>
  <c r="AJ37"/>
  <c r="AJ29"/>
  <c r="AJ18"/>
  <c r="C35" i="73"/>
  <c r="R28" i="75"/>
  <c r="Q28" s="1"/>
  <c r="Y28" s="1"/>
  <c r="R20"/>
  <c r="Q20" s="1"/>
  <c r="Y20" s="1"/>
  <c r="Z19" i="76"/>
  <c r="Y19"/>
  <c r="R29"/>
  <c r="R21"/>
  <c r="Q21" s="1"/>
  <c r="Y21" s="1"/>
  <c r="R30" i="77"/>
  <c r="R22"/>
  <c r="R32" i="78"/>
  <c r="R24"/>
  <c r="Q24" s="1"/>
  <c r="R14"/>
  <c r="Q14" s="1"/>
  <c r="R28" i="16"/>
  <c r="U28" i="17"/>
  <c r="E7" i="96"/>
  <c r="V9" i="72"/>
  <c r="U9"/>
  <c r="T9"/>
  <c r="R9"/>
  <c r="C35" i="16"/>
  <c r="AB28" i="17"/>
  <c r="AB17"/>
  <c r="AA25"/>
  <c r="E12" i="96"/>
  <c r="U24" i="17"/>
  <c r="U20"/>
  <c r="S33"/>
  <c r="S29"/>
  <c r="S21"/>
  <c r="S16"/>
  <c r="AA16" s="1"/>
  <c r="C16"/>
  <c r="U26"/>
  <c r="P14"/>
  <c r="L14" s="1"/>
  <c r="C34"/>
  <c r="C32"/>
  <c r="C30"/>
  <c r="C28"/>
  <c r="N26"/>
  <c r="C24"/>
  <c r="M24" s="1"/>
  <c r="I24" s="1"/>
  <c r="C22"/>
  <c r="M22" s="1"/>
  <c r="I22" s="1"/>
  <c r="C20"/>
  <c r="M20" s="1"/>
  <c r="I20" s="1"/>
  <c r="C18"/>
  <c r="P25"/>
  <c r="B39" i="47"/>
  <c r="B38"/>
  <c r="I35" i="70"/>
  <c r="AG15" i="72"/>
  <c r="AG18"/>
  <c r="AG21"/>
  <c r="AG25"/>
  <c r="AG27"/>
  <c r="AG29"/>
  <c r="AG31"/>
  <c r="AG33"/>
  <c r="AG35"/>
  <c r="AG37"/>
  <c r="AG39"/>
  <c r="AG41"/>
  <c r="AG43"/>
  <c r="AG54"/>
  <c r="AG56"/>
  <c r="AG58"/>
  <c r="AG60"/>
  <c r="AG62"/>
  <c r="AG64"/>
  <c r="AF21"/>
  <c r="AF22"/>
  <c r="AF42"/>
  <c r="AF55"/>
  <c r="AH55"/>
  <c r="AF57"/>
  <c r="AH57"/>
  <c r="AF59"/>
  <c r="AH59"/>
  <c r="AF61"/>
  <c r="AH61"/>
  <c r="AF63"/>
  <c r="AH63"/>
  <c r="AF65"/>
  <c r="AH65"/>
  <c r="AF26"/>
  <c r="AH26"/>
  <c r="AF24"/>
  <c r="AH24"/>
  <c r="AF18"/>
  <c r="AH18"/>
  <c r="AF16"/>
  <c r="AH16"/>
  <c r="AF14"/>
  <c r="AH14"/>
  <c r="AH21"/>
  <c r="AF54"/>
  <c r="AH54"/>
  <c r="AF51"/>
  <c r="AF48"/>
  <c r="AG48"/>
  <c r="AH48"/>
  <c r="AH47"/>
  <c r="AF46"/>
  <c r="AG46"/>
  <c r="AH46"/>
  <c r="AG14"/>
  <c r="AG16"/>
  <c r="AG19"/>
  <c r="AG22"/>
  <c r="AG24"/>
  <c r="AG26"/>
  <c r="AG28"/>
  <c r="AG30"/>
  <c r="AG32"/>
  <c r="AG34"/>
  <c r="AG36"/>
  <c r="AG38"/>
  <c r="AG40"/>
  <c r="AG42"/>
  <c r="AG53"/>
  <c r="AG55"/>
  <c r="AG57"/>
  <c r="AG59"/>
  <c r="AG61"/>
  <c r="AG63"/>
  <c r="AG65"/>
  <c r="AF28"/>
  <c r="AF29"/>
  <c r="AF30"/>
  <c r="AF31"/>
  <c r="AF32"/>
  <c r="AF33"/>
  <c r="AF34"/>
  <c r="AF35"/>
  <c r="AF36"/>
  <c r="AF37"/>
  <c r="AF38"/>
  <c r="AF39"/>
  <c r="AF40"/>
  <c r="AF41"/>
  <c r="AF43"/>
  <c r="AF52"/>
  <c r="AH17"/>
  <c r="AH28"/>
  <c r="AH29"/>
  <c r="AH30"/>
  <c r="AH31"/>
  <c r="AH32"/>
  <c r="AH33"/>
  <c r="AH34"/>
  <c r="AH35"/>
  <c r="AH36"/>
  <c r="AH37"/>
  <c r="AH38"/>
  <c r="AH39"/>
  <c r="AH40"/>
  <c r="AH41"/>
  <c r="AH42"/>
  <c r="AH52"/>
  <c r="AF56"/>
  <c r="AH56"/>
  <c r="AF58"/>
  <c r="AH58"/>
  <c r="AF60"/>
  <c r="AH60"/>
  <c r="AF62"/>
  <c r="AH62"/>
  <c r="AF64"/>
  <c r="AH64"/>
  <c r="AH25"/>
  <c r="AF19"/>
  <c r="AH19"/>
  <c r="AF17"/>
  <c r="AF15"/>
  <c r="AH15"/>
  <c r="AF27"/>
  <c r="AH27"/>
  <c r="AF53"/>
  <c r="AH53"/>
  <c r="AH51"/>
  <c r="AF50"/>
  <c r="AG50"/>
  <c r="AF25"/>
  <c r="AG17"/>
  <c r="AF13"/>
  <c r="AH13"/>
  <c r="AH22"/>
  <c r="AD14"/>
  <c r="AD16"/>
  <c r="AD19"/>
  <c r="AD22"/>
  <c r="AD24"/>
  <c r="AD26"/>
  <c r="AD28"/>
  <c r="AD30"/>
  <c r="AD32"/>
  <c r="AD34"/>
  <c r="AD36"/>
  <c r="AD38"/>
  <c r="AD40"/>
  <c r="AD53"/>
  <c r="AD55"/>
  <c r="AD57"/>
  <c r="AD59"/>
  <c r="AD61"/>
  <c r="AD63"/>
  <c r="AD65"/>
  <c r="AC28"/>
  <c r="AC29"/>
  <c r="AC30"/>
  <c r="AC31"/>
  <c r="AC32"/>
  <c r="AC33"/>
  <c r="AC34"/>
  <c r="AC35"/>
  <c r="AC36"/>
  <c r="AC37"/>
  <c r="AC38"/>
  <c r="AC39"/>
  <c r="AC40"/>
  <c r="AC41"/>
  <c r="AE17"/>
  <c r="AE28"/>
  <c r="AE29"/>
  <c r="AE30"/>
  <c r="AE31"/>
  <c r="AE32"/>
  <c r="AE33"/>
  <c r="AE34"/>
  <c r="AE35"/>
  <c r="AE36"/>
  <c r="AE37"/>
  <c r="AE38"/>
  <c r="AE39"/>
  <c r="AE40"/>
  <c r="AE41"/>
  <c r="AC56"/>
  <c r="AE56"/>
  <c r="AC58"/>
  <c r="AE58"/>
  <c r="AC60"/>
  <c r="AE60"/>
  <c r="AC62"/>
  <c r="AE62"/>
  <c r="AC64"/>
  <c r="AE64"/>
  <c r="AC25"/>
  <c r="AE25"/>
  <c r="AC19"/>
  <c r="AE19"/>
  <c r="AC17"/>
  <c r="AD17"/>
  <c r="AC15"/>
  <c r="AE15"/>
  <c r="AC13"/>
  <c r="AE13"/>
  <c r="AE22"/>
  <c r="AC27"/>
  <c r="AE27"/>
  <c r="AC53"/>
  <c r="AE53"/>
  <c r="AD51"/>
  <c r="AE51"/>
  <c r="AC50"/>
  <c r="AD50"/>
  <c r="AE50"/>
  <c r="AC49"/>
  <c r="AD49"/>
  <c r="AE49"/>
  <c r="AC47"/>
  <c r="AE45"/>
  <c r="AD45"/>
  <c r="AC45"/>
  <c r="AD13"/>
  <c r="AD15"/>
  <c r="AD18"/>
  <c r="AD21"/>
  <c r="AD23" s="1"/>
  <c r="AD25"/>
  <c r="AD27"/>
  <c r="AD29"/>
  <c r="AD31"/>
  <c r="AD33"/>
  <c r="AD35"/>
  <c r="AD37"/>
  <c r="AD39"/>
  <c r="AD41"/>
  <c r="AD52"/>
  <c r="AD54"/>
  <c r="AD56"/>
  <c r="AD58"/>
  <c r="AD60"/>
  <c r="AD62"/>
  <c r="AD64"/>
  <c r="AC21"/>
  <c r="AC22"/>
  <c r="AC55"/>
  <c r="AE55"/>
  <c r="AC57"/>
  <c r="AE57"/>
  <c r="AC59"/>
  <c r="AE59"/>
  <c r="AE61"/>
  <c r="AC63"/>
  <c r="AE63"/>
  <c r="AC65"/>
  <c r="AE65"/>
  <c r="AC26"/>
  <c r="AC24"/>
  <c r="AE24"/>
  <c r="AC18"/>
  <c r="AE18"/>
  <c r="AC16"/>
  <c r="AC14"/>
  <c r="AC54"/>
  <c r="AE54"/>
  <c r="AC51"/>
  <c r="AC61"/>
  <c r="AE26"/>
  <c r="AE16"/>
  <c r="AE14"/>
  <c r="AE21"/>
  <c r="AE23" s="1"/>
  <c r="AA14"/>
  <c r="AA16"/>
  <c r="AA19"/>
  <c r="AA22"/>
  <c r="AA24"/>
  <c r="AA26"/>
  <c r="AA28"/>
  <c r="AA30"/>
  <c r="AA32"/>
  <c r="AA34"/>
  <c r="AA36"/>
  <c r="AA38"/>
  <c r="AA40"/>
  <c r="AA42"/>
  <c r="AA53"/>
  <c r="AA55"/>
  <c r="AA57"/>
  <c r="AA59"/>
  <c r="AA61"/>
  <c r="AA63"/>
  <c r="AA65"/>
  <c r="AD42"/>
  <c r="Z21"/>
  <c r="Z22"/>
  <c r="Z43"/>
  <c r="Z55"/>
  <c r="AB55"/>
  <c r="Z57"/>
  <c r="AB57"/>
  <c r="Z59"/>
  <c r="AB59"/>
  <c r="Z61"/>
  <c r="AB61"/>
  <c r="Z63"/>
  <c r="AB63"/>
  <c r="Z65"/>
  <c r="AB65"/>
  <c r="Z26"/>
  <c r="AB26"/>
  <c r="Z24"/>
  <c r="AB24"/>
  <c r="Z18"/>
  <c r="AB18"/>
  <c r="Z16"/>
  <c r="AB16"/>
  <c r="Z14"/>
  <c r="AB14"/>
  <c r="AB21"/>
  <c r="Z54"/>
  <c r="AB54"/>
  <c r="Z51"/>
  <c r="Z48"/>
  <c r="AA48"/>
  <c r="AB48"/>
  <c r="AA47"/>
  <c r="AB47"/>
  <c r="Z46"/>
  <c r="AA46"/>
  <c r="AB46"/>
  <c r="AA13"/>
  <c r="AA15"/>
  <c r="AA18"/>
  <c r="AA21"/>
  <c r="AA25"/>
  <c r="AA27"/>
  <c r="AA29"/>
  <c r="AA31"/>
  <c r="AA33"/>
  <c r="AA35"/>
  <c r="AA37"/>
  <c r="AA39"/>
  <c r="AA41"/>
  <c r="AA43"/>
  <c r="AA52"/>
  <c r="AA54"/>
  <c r="AA56"/>
  <c r="AA58"/>
  <c r="AA60"/>
  <c r="AA62"/>
  <c r="AA64"/>
  <c r="AD43"/>
  <c r="Z28"/>
  <c r="Z29"/>
  <c r="Z30"/>
  <c r="Z31"/>
  <c r="Z32"/>
  <c r="Z33"/>
  <c r="Z34"/>
  <c r="Z35"/>
  <c r="Z36"/>
  <c r="Z37"/>
  <c r="Z38"/>
  <c r="Z40"/>
  <c r="Z41"/>
  <c r="Z42"/>
  <c r="Z52"/>
  <c r="AB17"/>
  <c r="AB28"/>
  <c r="AB29"/>
  <c r="AB30"/>
  <c r="AB31"/>
  <c r="AB32"/>
  <c r="AB33"/>
  <c r="AB34"/>
  <c r="AB35"/>
  <c r="AB36"/>
  <c r="AB37"/>
  <c r="AB38"/>
  <c r="AB39"/>
  <c r="AB40"/>
  <c r="AB41"/>
  <c r="AB52"/>
  <c r="Z56"/>
  <c r="AB56"/>
  <c r="Z58"/>
  <c r="AB58"/>
  <c r="Z60"/>
  <c r="AB60"/>
  <c r="Z62"/>
  <c r="AB62"/>
  <c r="Z64"/>
  <c r="AB64"/>
  <c r="Z25"/>
  <c r="AB19"/>
  <c r="AA17"/>
  <c r="Z15"/>
  <c r="Z27"/>
  <c r="AB27"/>
  <c r="Z53"/>
  <c r="AB53"/>
  <c r="AA51"/>
  <c r="AN51" s="1"/>
  <c r="AB51"/>
  <c r="Z50"/>
  <c r="AA50"/>
  <c r="Z39"/>
  <c r="AB25"/>
  <c r="Z19"/>
  <c r="Z17"/>
  <c r="AB15"/>
  <c r="Z13"/>
  <c r="AB13"/>
  <c r="AB22"/>
  <c r="Q31" i="75"/>
  <c r="Y31" s="1"/>
  <c r="Q27"/>
  <c r="Y27" s="1"/>
  <c r="Q23"/>
  <c r="Y23" s="1"/>
  <c r="Q19"/>
  <c r="Y19" s="1"/>
  <c r="Q32" i="76"/>
  <c r="Z32"/>
  <c r="Q28"/>
  <c r="Z28"/>
  <c r="Q24"/>
  <c r="Z24"/>
  <c r="Q20"/>
  <c r="Z20"/>
  <c r="Q16"/>
  <c r="Q33" i="77"/>
  <c r="Q29"/>
  <c r="Q25"/>
  <c r="Z25"/>
  <c r="Q21"/>
  <c r="Z21"/>
  <c r="Q17"/>
  <c r="Q31" i="78"/>
  <c r="Q27"/>
  <c r="Q23"/>
  <c r="Q19"/>
  <c r="F43" i="71"/>
  <c r="C32" i="47"/>
  <c r="E32"/>
  <c r="F32" s="1"/>
  <c r="F51" i="5"/>
  <c r="N19" i="71"/>
  <c r="K65"/>
  <c r="H51"/>
  <c r="N51" s="1"/>
  <c r="I65"/>
  <c r="M43"/>
  <c r="M65" s="1"/>
  <c r="AH49" i="72"/>
  <c r="AG49"/>
  <c r="AF49"/>
  <c r="AB50"/>
  <c r="F66"/>
  <c r="N66"/>
  <c r="O66"/>
  <c r="Q33" i="75"/>
  <c r="Q29"/>
  <c r="Q25"/>
  <c r="Q15"/>
  <c r="Z15"/>
  <c r="Q34" i="76"/>
  <c r="Q30"/>
  <c r="Z30"/>
  <c r="Q26"/>
  <c r="Y26" s="1"/>
  <c r="Z26"/>
  <c r="Q22"/>
  <c r="Z22"/>
  <c r="Q18"/>
  <c r="Y18" s="1"/>
  <c r="Q31" i="77"/>
  <c r="Y31" s="1"/>
  <c r="Q27"/>
  <c r="Y27" s="1"/>
  <c r="Z27"/>
  <c r="Q23"/>
  <c r="Z23"/>
  <c r="Q19"/>
  <c r="Y19" s="1"/>
  <c r="Z19"/>
  <c r="Q15"/>
  <c r="Z15"/>
  <c r="Q33" i="78"/>
  <c r="Q29"/>
  <c r="Q25"/>
  <c r="Q15"/>
  <c r="Q16" i="77"/>
  <c r="Y16" s="1"/>
  <c r="Z16"/>
  <c r="O18"/>
  <c r="P18"/>
  <c r="L18" s="1"/>
  <c r="O18" i="78"/>
  <c r="K18" s="1"/>
  <c r="T18" s="1"/>
  <c r="P18"/>
  <c r="L18" s="1"/>
  <c r="U18" s="1"/>
  <c r="R33" i="16"/>
  <c r="Q32"/>
  <c r="Y32" s="1"/>
  <c r="Z32"/>
  <c r="R29"/>
  <c r="Q28"/>
  <c r="Y28" s="1"/>
  <c r="Z28"/>
  <c r="R25"/>
  <c r="R21"/>
  <c r="Q21" s="1"/>
  <c r="Y21" s="1"/>
  <c r="R15"/>
  <c r="Q14"/>
  <c r="O18" i="17"/>
  <c r="K18" s="1"/>
  <c r="P18"/>
  <c r="L18" s="1"/>
  <c r="H13" i="94"/>
  <c r="D22" i="5" s="1"/>
  <c r="U15" i="72"/>
  <c r="U18"/>
  <c r="U21"/>
  <c r="U25"/>
  <c r="U27"/>
  <c r="U29"/>
  <c r="U31"/>
  <c r="U33"/>
  <c r="U35"/>
  <c r="U37"/>
  <c r="U39"/>
  <c r="U41"/>
  <c r="U43"/>
  <c r="U54"/>
  <c r="U56"/>
  <c r="U58"/>
  <c r="U60"/>
  <c r="U62"/>
  <c r="U64"/>
  <c r="R52"/>
  <c r="U52"/>
  <c r="R21" i="73"/>
  <c r="M21"/>
  <c r="M20"/>
  <c r="I20" s="1"/>
  <c r="R20" s="1"/>
  <c r="Q20" s="1"/>
  <c r="M19"/>
  <c r="I19" s="1"/>
  <c r="R19" s="1"/>
  <c r="M18"/>
  <c r="I18" s="1"/>
  <c r="R18" s="1"/>
  <c r="M17"/>
  <c r="I17" s="1"/>
  <c r="R17" s="1"/>
  <c r="M16"/>
  <c r="I16" s="1"/>
  <c r="R16" s="1"/>
  <c r="M15"/>
  <c r="I15" s="1"/>
  <c r="R15" s="1"/>
  <c r="M14"/>
  <c r="Q21" i="74"/>
  <c r="M20"/>
  <c r="I20" s="1"/>
  <c r="R20" s="1"/>
  <c r="Q20" s="1"/>
  <c r="M19"/>
  <c r="I19" s="1"/>
  <c r="R19" s="1"/>
  <c r="M18"/>
  <c r="I18" s="1"/>
  <c r="R18" s="1"/>
  <c r="M17"/>
  <c r="I17" s="1"/>
  <c r="R17" s="1"/>
  <c r="M16"/>
  <c r="I16" s="1"/>
  <c r="R16" s="1"/>
  <c r="M15"/>
  <c r="I15" s="1"/>
  <c r="R15" s="1"/>
  <c r="M14"/>
  <c r="C35"/>
  <c r="Q16" i="75"/>
  <c r="Y16" s="1"/>
  <c r="Q14"/>
  <c r="O18"/>
  <c r="K18" s="1"/>
  <c r="P18"/>
  <c r="L18" s="1"/>
  <c r="Q33" i="76"/>
  <c r="Y33" s="1"/>
  <c r="Q31"/>
  <c r="Y31" s="1"/>
  <c r="Q29"/>
  <c r="Y29" s="1"/>
  <c r="Q27"/>
  <c r="Y27" s="1"/>
  <c r="Q25"/>
  <c r="Y25" s="1"/>
  <c r="Q23"/>
  <c r="Y23" s="1"/>
  <c r="I14"/>
  <c r="T17"/>
  <c r="T35" s="1"/>
  <c r="K35"/>
  <c r="H46" s="1"/>
  <c r="Q34" i="77"/>
  <c r="Q32"/>
  <c r="Y32" s="1"/>
  <c r="Q30"/>
  <c r="Y30" s="1"/>
  <c r="Q28"/>
  <c r="Y28" s="1"/>
  <c r="Q26"/>
  <c r="Y26" s="1"/>
  <c r="Z26"/>
  <c r="Q24"/>
  <c r="Y24" s="1"/>
  <c r="Z24"/>
  <c r="Q22"/>
  <c r="Y22" s="1"/>
  <c r="Z22"/>
  <c r="Q20"/>
  <c r="Y20" s="1"/>
  <c r="Z20"/>
  <c r="AI45" i="72"/>
  <c r="AJ45"/>
  <c r="AK45"/>
  <c r="V46"/>
  <c r="U46"/>
  <c r="T46"/>
  <c r="V47"/>
  <c r="AI47"/>
  <c r="V48"/>
  <c r="U48"/>
  <c r="T48"/>
  <c r="AK49"/>
  <c r="AJ49"/>
  <c r="AI49"/>
  <c r="AK50"/>
  <c r="AJ50"/>
  <c r="AI50"/>
  <c r="AK51"/>
  <c r="T51"/>
  <c r="H66"/>
  <c r="M44"/>
  <c r="M66" s="1"/>
  <c r="V54"/>
  <c r="T54"/>
  <c r="AK53"/>
  <c r="AI53"/>
  <c r="AK27"/>
  <c r="AI27"/>
  <c r="AK22"/>
  <c r="AK23" s="1"/>
  <c r="V21"/>
  <c r="AK13"/>
  <c r="AI13"/>
  <c r="V14"/>
  <c r="T14"/>
  <c r="AK15"/>
  <c r="AI15"/>
  <c r="V16"/>
  <c r="T16"/>
  <c r="AJ17"/>
  <c r="AI17"/>
  <c r="V18"/>
  <c r="T18"/>
  <c r="AK19"/>
  <c r="AI19"/>
  <c r="V24"/>
  <c r="T24"/>
  <c r="AK25"/>
  <c r="AI25"/>
  <c r="V26"/>
  <c r="T26"/>
  <c r="V65"/>
  <c r="T65"/>
  <c r="AK64"/>
  <c r="AI64"/>
  <c r="V63"/>
  <c r="T63"/>
  <c r="AK62"/>
  <c r="AI62"/>
  <c r="V61"/>
  <c r="T61"/>
  <c r="AK60"/>
  <c r="AI60"/>
  <c r="V59"/>
  <c r="T59"/>
  <c r="AK58"/>
  <c r="AI58"/>
  <c r="V57"/>
  <c r="T57"/>
  <c r="AK56"/>
  <c r="AI56"/>
  <c r="V55"/>
  <c r="T55"/>
  <c r="X9"/>
  <c r="AK52"/>
  <c r="AE52"/>
  <c r="Y52"/>
  <c r="AK42"/>
  <c r="AK41"/>
  <c r="AK40"/>
  <c r="AK39"/>
  <c r="AK38"/>
  <c r="AK37"/>
  <c r="AK36"/>
  <c r="AK35"/>
  <c r="AK34"/>
  <c r="AK33"/>
  <c r="AK32"/>
  <c r="AK31"/>
  <c r="AK30"/>
  <c r="AK29"/>
  <c r="AK28"/>
  <c r="AK17"/>
  <c r="AI52"/>
  <c r="AC52"/>
  <c r="W52"/>
  <c r="AI43"/>
  <c r="T43"/>
  <c r="AI41"/>
  <c r="AI40"/>
  <c r="AI39"/>
  <c r="AI38"/>
  <c r="AI37"/>
  <c r="AI36"/>
  <c r="AI35"/>
  <c r="AI34"/>
  <c r="AI33"/>
  <c r="AI32"/>
  <c r="AI31"/>
  <c r="AI30"/>
  <c r="AI29"/>
  <c r="AI28"/>
  <c r="T22"/>
  <c r="T21"/>
  <c r="AJ65"/>
  <c r="AJ63"/>
  <c r="AJ61"/>
  <c r="AJ59"/>
  <c r="AJ57"/>
  <c r="AJ55"/>
  <c r="AJ53"/>
  <c r="AJ42"/>
  <c r="AJ40"/>
  <c r="AJ38"/>
  <c r="AJ36"/>
  <c r="AJ34"/>
  <c r="AJ32"/>
  <c r="AJ30"/>
  <c r="AJ28"/>
  <c r="AJ26"/>
  <c r="AJ24"/>
  <c r="AJ22"/>
  <c r="AJ23" s="1"/>
  <c r="AJ19"/>
  <c r="AJ16"/>
  <c r="AG52"/>
  <c r="X52"/>
  <c r="X14"/>
  <c r="X16"/>
  <c r="X19"/>
  <c r="X22"/>
  <c r="X24"/>
  <c r="X26"/>
  <c r="U63"/>
  <c r="U59"/>
  <c r="U55"/>
  <c r="U40"/>
  <c r="U36"/>
  <c r="U32"/>
  <c r="U28"/>
  <c r="U24"/>
  <c r="U19"/>
  <c r="U14"/>
  <c r="R14"/>
  <c r="R16"/>
  <c r="R19"/>
  <c r="AN19" s="1"/>
  <c r="R22"/>
  <c r="R24"/>
  <c r="R26"/>
  <c r="R28"/>
  <c r="R30"/>
  <c r="R32"/>
  <c r="R34"/>
  <c r="R36"/>
  <c r="R38"/>
  <c r="R40"/>
  <c r="R42"/>
  <c r="R54"/>
  <c r="R56"/>
  <c r="R58"/>
  <c r="R60"/>
  <c r="R62"/>
  <c r="R64"/>
  <c r="M34" i="73"/>
  <c r="I34" s="1"/>
  <c r="R34" s="1"/>
  <c r="M33"/>
  <c r="I33" s="1"/>
  <c r="R33" s="1"/>
  <c r="M32"/>
  <c r="I32" s="1"/>
  <c r="R32" s="1"/>
  <c r="M31"/>
  <c r="I31" s="1"/>
  <c r="R31" s="1"/>
  <c r="M30"/>
  <c r="I30" s="1"/>
  <c r="R30" s="1"/>
  <c r="M29"/>
  <c r="I29" s="1"/>
  <c r="R29" s="1"/>
  <c r="M28"/>
  <c r="I28" s="1"/>
  <c r="R28" s="1"/>
  <c r="M27"/>
  <c r="I27" s="1"/>
  <c r="R27" s="1"/>
  <c r="M26"/>
  <c r="I26" s="1"/>
  <c r="R26" s="1"/>
  <c r="M25"/>
  <c r="I25" s="1"/>
  <c r="R25" s="1"/>
  <c r="M24"/>
  <c r="I24" s="1"/>
  <c r="R24" s="1"/>
  <c r="Q24" s="1"/>
  <c r="M23"/>
  <c r="I23" s="1"/>
  <c r="R23" s="1"/>
  <c r="M22"/>
  <c r="I22" s="1"/>
  <c r="R22" s="1"/>
  <c r="O18"/>
  <c r="K18" s="1"/>
  <c r="T18" s="1"/>
  <c r="P18"/>
  <c r="L18" s="1"/>
  <c r="U18" s="1"/>
  <c r="O17"/>
  <c r="P17"/>
  <c r="M34" i="74"/>
  <c r="I34" s="1"/>
  <c r="R34" s="1"/>
  <c r="M33"/>
  <c r="I33" s="1"/>
  <c r="R33" s="1"/>
  <c r="M32"/>
  <c r="I32" s="1"/>
  <c r="R32" s="1"/>
  <c r="M31"/>
  <c r="I31" s="1"/>
  <c r="R31" s="1"/>
  <c r="M30"/>
  <c r="I30" s="1"/>
  <c r="R30" s="1"/>
  <c r="M29"/>
  <c r="I29" s="1"/>
  <c r="R29" s="1"/>
  <c r="M28"/>
  <c r="I28" s="1"/>
  <c r="R28" s="1"/>
  <c r="M27"/>
  <c r="I27" s="1"/>
  <c r="R27" s="1"/>
  <c r="M26"/>
  <c r="I26" s="1"/>
  <c r="R26" s="1"/>
  <c r="M25"/>
  <c r="I25" s="1"/>
  <c r="R25" s="1"/>
  <c r="M24"/>
  <c r="I24" s="1"/>
  <c r="R24" s="1"/>
  <c r="Q24" s="1"/>
  <c r="M23"/>
  <c r="I23" s="1"/>
  <c r="R23" s="1"/>
  <c r="M22"/>
  <c r="I22" s="1"/>
  <c r="R22" s="1"/>
  <c r="O18"/>
  <c r="K18" s="1"/>
  <c r="T18" s="1"/>
  <c r="P18"/>
  <c r="L18" s="1"/>
  <c r="U18" s="1"/>
  <c r="K17"/>
  <c r="Y33" i="75"/>
  <c r="Y29"/>
  <c r="Y25"/>
  <c r="Y21"/>
  <c r="Y15"/>
  <c r="M18"/>
  <c r="I18" s="1"/>
  <c r="H17"/>
  <c r="G35"/>
  <c r="Z33" i="76"/>
  <c r="Z29"/>
  <c r="Z25"/>
  <c r="Z21"/>
  <c r="G35"/>
  <c r="Y32"/>
  <c r="Y30"/>
  <c r="Y28"/>
  <c r="Y24"/>
  <c r="Y22"/>
  <c r="Y20"/>
  <c r="Y16"/>
  <c r="M17"/>
  <c r="I17" s="1"/>
  <c r="Y33" i="77"/>
  <c r="Y29"/>
  <c r="Y25"/>
  <c r="Y23"/>
  <c r="Y21"/>
  <c r="Y17"/>
  <c r="Y15"/>
  <c r="M18"/>
  <c r="I18" s="1"/>
  <c r="I14"/>
  <c r="M35"/>
  <c r="T17"/>
  <c r="Q32" i="78"/>
  <c r="Q28"/>
  <c r="M18"/>
  <c r="I18" s="1"/>
  <c r="R18" s="1"/>
  <c r="H17"/>
  <c r="G35"/>
  <c r="Q34" i="16"/>
  <c r="R31"/>
  <c r="Q30"/>
  <c r="Y30" s="1"/>
  <c r="R27"/>
  <c r="Q26"/>
  <c r="Y26" s="1"/>
  <c r="R23"/>
  <c r="Q22"/>
  <c r="Y22" s="1"/>
  <c r="R19"/>
  <c r="O18"/>
  <c r="K18" s="1"/>
  <c r="P18"/>
  <c r="L18" s="1"/>
  <c r="M18"/>
  <c r="I18" s="1"/>
  <c r="P18" i="76"/>
  <c r="L18" s="1"/>
  <c r="M18" i="17"/>
  <c r="I18" s="1"/>
  <c r="J15"/>
  <c r="U33"/>
  <c r="U31"/>
  <c r="U29"/>
  <c r="U27"/>
  <c r="U23"/>
  <c r="U21"/>
  <c r="U19"/>
  <c r="H17" i="16"/>
  <c r="P17" s="1"/>
  <c r="L17" s="1"/>
  <c r="G35"/>
  <c r="G35" i="17"/>
  <c r="H17"/>
  <c r="V11" i="93"/>
  <c r="V12" s="1"/>
  <c r="U12"/>
  <c r="B14" i="96"/>
  <c r="E13"/>
  <c r="F13" s="1"/>
  <c r="H13" s="1"/>
  <c r="AA14" i="17"/>
  <c r="L35"/>
  <c r="U16"/>
  <c r="T30"/>
  <c r="AB30" s="1"/>
  <c r="T24"/>
  <c r="AB24" s="1"/>
  <c r="T20"/>
  <c r="AB20" s="1"/>
  <c r="U12" i="95"/>
  <c r="S26" i="17"/>
  <c r="AA26" s="1"/>
  <c r="C26"/>
  <c r="R24"/>
  <c r="Q24" s="1"/>
  <c r="Y24" s="1"/>
  <c r="R22"/>
  <c r="R20"/>
  <c r="Q20" s="1"/>
  <c r="Y20" s="1"/>
  <c r="R18"/>
  <c r="R15"/>
  <c r="I14"/>
  <c r="N34"/>
  <c r="J34" s="1"/>
  <c r="S34" s="1"/>
  <c r="N32"/>
  <c r="J32" s="1"/>
  <c r="N30"/>
  <c r="J30" s="1"/>
  <c r="N28"/>
  <c r="J28" s="1"/>
  <c r="M25"/>
  <c r="N24"/>
  <c r="J24" s="1"/>
  <c r="N22"/>
  <c r="J22" s="1"/>
  <c r="N20"/>
  <c r="J20" s="1"/>
  <c r="N18"/>
  <c r="J18" s="1"/>
  <c r="O33"/>
  <c r="K33" s="1"/>
  <c r="C33"/>
  <c r="O31"/>
  <c r="K31" s="1"/>
  <c r="C31"/>
  <c r="O29"/>
  <c r="K29" s="1"/>
  <c r="C29"/>
  <c r="O27"/>
  <c r="K27" s="1"/>
  <c r="C27"/>
  <c r="C25"/>
  <c r="O23"/>
  <c r="K23" s="1"/>
  <c r="C23"/>
  <c r="O21"/>
  <c r="K21" s="1"/>
  <c r="C21"/>
  <c r="O19"/>
  <c r="K19" s="1"/>
  <c r="C19"/>
  <c r="P16" i="16"/>
  <c r="L16" s="1"/>
  <c r="AB16" s="1"/>
  <c r="P15"/>
  <c r="L15" s="1"/>
  <c r="AB15" s="1"/>
  <c r="P14"/>
  <c r="P34" i="78"/>
  <c r="L34" s="1"/>
  <c r="U34" s="1"/>
  <c r="P33"/>
  <c r="L33" s="1"/>
  <c r="U33" s="1"/>
  <c r="P32"/>
  <c r="L32" s="1"/>
  <c r="U32" s="1"/>
  <c r="P31"/>
  <c r="L31" s="1"/>
  <c r="U31" s="1"/>
  <c r="P30"/>
  <c r="L30" s="1"/>
  <c r="U30" s="1"/>
  <c r="P29"/>
  <c r="L29" s="1"/>
  <c r="U29" s="1"/>
  <c r="P28"/>
  <c r="L28" s="1"/>
  <c r="U28" s="1"/>
  <c r="P27"/>
  <c r="L27" s="1"/>
  <c r="U27" s="1"/>
  <c r="P26"/>
  <c r="L26" s="1"/>
  <c r="U26" s="1"/>
  <c r="P25"/>
  <c r="L25" s="1"/>
  <c r="U25" s="1"/>
  <c r="P24"/>
  <c r="L24" s="1"/>
  <c r="U24" s="1"/>
  <c r="P23"/>
  <c r="L23" s="1"/>
  <c r="U23" s="1"/>
  <c r="P22"/>
  <c r="L22" s="1"/>
  <c r="U22" s="1"/>
  <c r="P21"/>
  <c r="L21" s="1"/>
  <c r="U21" s="1"/>
  <c r="P20"/>
  <c r="L20" s="1"/>
  <c r="U20" s="1"/>
  <c r="P19"/>
  <c r="L19" s="1"/>
  <c r="U19" s="1"/>
  <c r="P17" i="77"/>
  <c r="L17" s="1"/>
  <c r="AB17" s="1"/>
  <c r="P16"/>
  <c r="L16" s="1"/>
  <c r="AB16" s="1"/>
  <c r="P15"/>
  <c r="L15" s="1"/>
  <c r="AB15" s="1"/>
  <c r="P14"/>
  <c r="P34" i="76"/>
  <c r="L34" s="1"/>
  <c r="U34" s="1"/>
  <c r="P33"/>
  <c r="L33" s="1"/>
  <c r="AB33" s="1"/>
  <c r="P32"/>
  <c r="L32" s="1"/>
  <c r="AB32" s="1"/>
  <c r="P31"/>
  <c r="L31" s="1"/>
  <c r="AB31" s="1"/>
  <c r="P30"/>
  <c r="L30" s="1"/>
  <c r="AB30" s="1"/>
  <c r="P29"/>
  <c r="L29" s="1"/>
  <c r="AB29" s="1"/>
  <c r="P28"/>
  <c r="L28" s="1"/>
  <c r="AB28" s="1"/>
  <c r="P27"/>
  <c r="L27" s="1"/>
  <c r="AB27" s="1"/>
  <c r="P26"/>
  <c r="L26" s="1"/>
  <c r="AB26" s="1"/>
  <c r="P25"/>
  <c r="L25" s="1"/>
  <c r="AB25" s="1"/>
  <c r="P24"/>
  <c r="L24" s="1"/>
  <c r="AB24" s="1"/>
  <c r="P23"/>
  <c r="L23" s="1"/>
  <c r="AB23" s="1"/>
  <c r="P22"/>
  <c r="L22" s="1"/>
  <c r="AB22" s="1"/>
  <c r="P21"/>
  <c r="L21" s="1"/>
  <c r="AB21" s="1"/>
  <c r="P20"/>
  <c r="L20" s="1"/>
  <c r="AB20" s="1"/>
  <c r="P19"/>
  <c r="L19" s="1"/>
  <c r="AB19" s="1"/>
  <c r="P17" i="75"/>
  <c r="L17" s="1"/>
  <c r="P16"/>
  <c r="L16" s="1"/>
  <c r="AB16" s="1"/>
  <c r="P15"/>
  <c r="L15" s="1"/>
  <c r="AB15" s="1"/>
  <c r="P14"/>
  <c r="P34" i="74"/>
  <c r="L34" s="1"/>
  <c r="U34" s="1"/>
  <c r="P33"/>
  <c r="L33" s="1"/>
  <c r="U33" s="1"/>
  <c r="P32"/>
  <c r="L32" s="1"/>
  <c r="U32" s="1"/>
  <c r="P31"/>
  <c r="L31" s="1"/>
  <c r="U31" s="1"/>
  <c r="P30"/>
  <c r="L30" s="1"/>
  <c r="U30" s="1"/>
  <c r="P29"/>
  <c r="L29" s="1"/>
  <c r="U29" s="1"/>
  <c r="P28"/>
  <c r="L28" s="1"/>
  <c r="U28" s="1"/>
  <c r="P27"/>
  <c r="L27" s="1"/>
  <c r="U27" s="1"/>
  <c r="P26"/>
  <c r="L26" s="1"/>
  <c r="U26" s="1"/>
  <c r="P25"/>
  <c r="L25" s="1"/>
  <c r="U25" s="1"/>
  <c r="P24"/>
  <c r="L24" s="1"/>
  <c r="U24" s="1"/>
  <c r="P23"/>
  <c r="L23" s="1"/>
  <c r="U23" s="1"/>
  <c r="P22"/>
  <c r="L22" s="1"/>
  <c r="U22" s="1"/>
  <c r="P21"/>
  <c r="L21" s="1"/>
  <c r="U21" s="1"/>
  <c r="P20"/>
  <c r="L20" s="1"/>
  <c r="U20" s="1"/>
  <c r="P19"/>
  <c r="L19" s="1"/>
  <c r="U19" s="1"/>
  <c r="C17" i="47"/>
  <c r="P26" i="17"/>
  <c r="M26" s="1"/>
  <c r="I26"/>
  <c r="D35"/>
  <c r="C17"/>
  <c r="J17"/>
  <c r="P34" i="16"/>
  <c r="L34" s="1"/>
  <c r="U34" s="1"/>
  <c r="V34" s="1"/>
  <c r="P33"/>
  <c r="L33" s="1"/>
  <c r="AB33" s="1"/>
  <c r="P32"/>
  <c r="L32" s="1"/>
  <c r="AB32" s="1"/>
  <c r="P31"/>
  <c r="L31" s="1"/>
  <c r="AB31" s="1"/>
  <c r="P30"/>
  <c r="L30" s="1"/>
  <c r="AB30" s="1"/>
  <c r="P29"/>
  <c r="L29" s="1"/>
  <c r="AB29" s="1"/>
  <c r="P28"/>
  <c r="L28" s="1"/>
  <c r="AB28" s="1"/>
  <c r="P27"/>
  <c r="L27" s="1"/>
  <c r="AB27" s="1"/>
  <c r="P26"/>
  <c r="L26" s="1"/>
  <c r="AB26" s="1"/>
  <c r="P25"/>
  <c r="L25" s="1"/>
  <c r="AB25" s="1"/>
  <c r="P24"/>
  <c r="L24" s="1"/>
  <c r="AB24" s="1"/>
  <c r="P23"/>
  <c r="L23" s="1"/>
  <c r="AB23" s="1"/>
  <c r="P22"/>
  <c r="L22" s="1"/>
  <c r="AB22" s="1"/>
  <c r="P21"/>
  <c r="L21" s="1"/>
  <c r="AB21" s="1"/>
  <c r="P20"/>
  <c r="L20" s="1"/>
  <c r="AB20" s="1"/>
  <c r="P19"/>
  <c r="L19" s="1"/>
  <c r="AB19" s="1"/>
  <c r="P17" i="78"/>
  <c r="L17" s="1"/>
  <c r="U17" s="1"/>
  <c r="P16"/>
  <c r="L16" s="1"/>
  <c r="U16" s="1"/>
  <c r="P15"/>
  <c r="L15" s="1"/>
  <c r="U15" s="1"/>
  <c r="P14"/>
  <c r="P34" i="77"/>
  <c r="L34" s="1"/>
  <c r="U34" s="1"/>
  <c r="P33"/>
  <c r="L33" s="1"/>
  <c r="AB33" s="1"/>
  <c r="P32"/>
  <c r="L32" s="1"/>
  <c r="AB32" s="1"/>
  <c r="P31"/>
  <c r="L31" s="1"/>
  <c r="AB31" s="1"/>
  <c r="P30"/>
  <c r="L30" s="1"/>
  <c r="AB30" s="1"/>
  <c r="P29"/>
  <c r="L29" s="1"/>
  <c r="AB29" s="1"/>
  <c r="P28"/>
  <c r="L28" s="1"/>
  <c r="AB28" s="1"/>
  <c r="P27"/>
  <c r="L27" s="1"/>
  <c r="AB27" s="1"/>
  <c r="P26"/>
  <c r="L26" s="1"/>
  <c r="AB26" s="1"/>
  <c r="P25"/>
  <c r="L25" s="1"/>
  <c r="AB25" s="1"/>
  <c r="P24"/>
  <c r="L24" s="1"/>
  <c r="AB24" s="1"/>
  <c r="P23"/>
  <c r="L23" s="1"/>
  <c r="AB23" s="1"/>
  <c r="P22"/>
  <c r="L22" s="1"/>
  <c r="AB22" s="1"/>
  <c r="P21"/>
  <c r="L21" s="1"/>
  <c r="AB21" s="1"/>
  <c r="P20"/>
  <c r="L20" s="1"/>
  <c r="AB20" s="1"/>
  <c r="P19"/>
  <c r="L19" s="1"/>
  <c r="AB19" s="1"/>
  <c r="P17" i="76"/>
  <c r="L17" s="1"/>
  <c r="AB17" s="1"/>
  <c r="P16"/>
  <c r="L16" s="1"/>
  <c r="AB16" s="1"/>
  <c r="P15"/>
  <c r="L15" s="1"/>
  <c r="AB15" s="1"/>
  <c r="P14"/>
  <c r="P34" i="75"/>
  <c r="L34" s="1"/>
  <c r="U34" s="1"/>
  <c r="P33"/>
  <c r="L33" s="1"/>
  <c r="AB33" s="1"/>
  <c r="P32"/>
  <c r="L32" s="1"/>
  <c r="AB32" s="1"/>
  <c r="P31"/>
  <c r="L31" s="1"/>
  <c r="AB31" s="1"/>
  <c r="P30"/>
  <c r="L30" s="1"/>
  <c r="AB30" s="1"/>
  <c r="P29"/>
  <c r="L29" s="1"/>
  <c r="AB29" s="1"/>
  <c r="P28"/>
  <c r="L28" s="1"/>
  <c r="AB28" s="1"/>
  <c r="P27"/>
  <c r="L27" s="1"/>
  <c r="AB27" s="1"/>
  <c r="P26"/>
  <c r="L26" s="1"/>
  <c r="AB26" s="1"/>
  <c r="P25"/>
  <c r="L25" s="1"/>
  <c r="AB25" s="1"/>
  <c r="P24"/>
  <c r="L24" s="1"/>
  <c r="AB24" s="1"/>
  <c r="P23"/>
  <c r="L23" s="1"/>
  <c r="AB23" s="1"/>
  <c r="P22"/>
  <c r="L22" s="1"/>
  <c r="AB22" s="1"/>
  <c r="P21"/>
  <c r="L21" s="1"/>
  <c r="AB21" s="1"/>
  <c r="P20"/>
  <c r="L20" s="1"/>
  <c r="AB20" s="1"/>
  <c r="P19"/>
  <c r="L19" s="1"/>
  <c r="AB19" s="1"/>
  <c r="P17" i="74"/>
  <c r="L17" s="1"/>
  <c r="U17" s="1"/>
  <c r="P16"/>
  <c r="L16" s="1"/>
  <c r="U16" s="1"/>
  <c r="P15"/>
  <c r="N18" i="77"/>
  <c r="J18" s="1"/>
  <c r="N17" i="76"/>
  <c r="J17" s="1"/>
  <c r="N26" i="16"/>
  <c r="J26" s="1"/>
  <c r="Z26" s="1"/>
  <c r="N25"/>
  <c r="J25" s="1"/>
  <c r="Z25" s="1"/>
  <c r="N24"/>
  <c r="J24" s="1"/>
  <c r="Z24" s="1"/>
  <c r="N23"/>
  <c r="J23" s="1"/>
  <c r="Z23" s="1"/>
  <c r="N22"/>
  <c r="J22" s="1"/>
  <c r="Z22" s="1"/>
  <c r="N21"/>
  <c r="J21" s="1"/>
  <c r="Z21" s="1"/>
  <c r="N20"/>
  <c r="J20" s="1"/>
  <c r="Z20" s="1"/>
  <c r="N19"/>
  <c r="J19" s="1"/>
  <c r="Z19" s="1"/>
  <c r="N18"/>
  <c r="J18" s="1"/>
  <c r="N17"/>
  <c r="J17" s="1"/>
  <c r="N16"/>
  <c r="J16" s="1"/>
  <c r="Z16" s="1"/>
  <c r="N15"/>
  <c r="J15" s="1"/>
  <c r="Z15" s="1"/>
  <c r="N14"/>
  <c r="N34" i="78"/>
  <c r="J34" s="1"/>
  <c r="S34" s="1"/>
  <c r="V34" s="1"/>
  <c r="N33"/>
  <c r="J33" s="1"/>
  <c r="S33" s="1"/>
  <c r="V33" s="1"/>
  <c r="N32"/>
  <c r="J32" s="1"/>
  <c r="S32" s="1"/>
  <c r="V32" s="1"/>
  <c r="N31"/>
  <c r="J31" s="1"/>
  <c r="S31" s="1"/>
  <c r="V31" s="1"/>
  <c r="N30"/>
  <c r="J30" s="1"/>
  <c r="S30" s="1"/>
  <c r="V30" s="1"/>
  <c r="N29"/>
  <c r="J29" s="1"/>
  <c r="S29" s="1"/>
  <c r="V29" s="1"/>
  <c r="N28"/>
  <c r="J28" s="1"/>
  <c r="S28" s="1"/>
  <c r="V28" s="1"/>
  <c r="N27"/>
  <c r="J27" s="1"/>
  <c r="S27" s="1"/>
  <c r="V27" s="1"/>
  <c r="N26"/>
  <c r="J26" s="1"/>
  <c r="S26" s="1"/>
  <c r="V26" s="1"/>
  <c r="N25"/>
  <c r="J25" s="1"/>
  <c r="S25" s="1"/>
  <c r="V25" s="1"/>
  <c r="N24"/>
  <c r="J24" s="1"/>
  <c r="S24" s="1"/>
  <c r="N23"/>
  <c r="J23" s="1"/>
  <c r="S23" s="1"/>
  <c r="V24" s="1"/>
  <c r="N22"/>
  <c r="J22" s="1"/>
  <c r="S22" s="1"/>
  <c r="V23" s="1"/>
  <c r="N21"/>
  <c r="J21" s="1"/>
  <c r="S21" s="1"/>
  <c r="N20"/>
  <c r="J20" s="1"/>
  <c r="S20" s="1"/>
  <c r="N19"/>
  <c r="J19" s="1"/>
  <c r="S19" s="1"/>
  <c r="V19" s="1"/>
  <c r="N18"/>
  <c r="J18" s="1"/>
  <c r="S18" s="1"/>
  <c r="N17"/>
  <c r="J17" s="1"/>
  <c r="S17" s="1"/>
  <c r="N16"/>
  <c r="J16" s="1"/>
  <c r="S16" s="1"/>
  <c r="V16" s="1"/>
  <c r="N15"/>
  <c r="J15" s="1"/>
  <c r="S15" s="1"/>
  <c r="N14"/>
  <c r="N34" i="77"/>
  <c r="J34" s="1"/>
  <c r="S34" s="1"/>
  <c r="N33"/>
  <c r="J33" s="1"/>
  <c r="Z33" s="1"/>
  <c r="N32"/>
  <c r="J32" s="1"/>
  <c r="Z32" s="1"/>
  <c r="N31"/>
  <c r="J31" s="1"/>
  <c r="Z31" s="1"/>
  <c r="N30"/>
  <c r="J30" s="1"/>
  <c r="Z30" s="1"/>
  <c r="N29"/>
  <c r="J29" s="1"/>
  <c r="Z29" s="1"/>
  <c r="N28"/>
  <c r="J28" s="1"/>
  <c r="Z28" s="1"/>
  <c r="N17"/>
  <c r="N18" i="76"/>
  <c r="J18" s="1"/>
  <c r="Z18" s="1"/>
  <c r="S27" i="77"/>
  <c r="AA27" s="1"/>
  <c r="S26"/>
  <c r="AA26" s="1"/>
  <c r="S25"/>
  <c r="AA25" s="1"/>
  <c r="S24"/>
  <c r="AA24" s="1"/>
  <c r="S23"/>
  <c r="AA23" s="1"/>
  <c r="S22"/>
  <c r="AA22" s="1"/>
  <c r="S21"/>
  <c r="AA21" s="1"/>
  <c r="S20"/>
  <c r="AA20" s="1"/>
  <c r="S19"/>
  <c r="AA19" s="1"/>
  <c r="S16"/>
  <c r="S15"/>
  <c r="AA15" s="1"/>
  <c r="S14"/>
  <c r="S34" i="76"/>
  <c r="V34" s="1"/>
  <c r="S33"/>
  <c r="AA33" s="1"/>
  <c r="S32"/>
  <c r="AA32" s="1"/>
  <c r="S31"/>
  <c r="AA31" s="1"/>
  <c r="S30"/>
  <c r="AA30" s="1"/>
  <c r="S29"/>
  <c r="AA29" s="1"/>
  <c r="S28"/>
  <c r="AA28" s="1"/>
  <c r="S27"/>
  <c r="AA27" s="1"/>
  <c r="S26"/>
  <c r="AA26" s="1"/>
  <c r="S25"/>
  <c r="AA25" s="1"/>
  <c r="S24"/>
  <c r="AA24" s="1"/>
  <c r="S23"/>
  <c r="AA23" s="1"/>
  <c r="S22"/>
  <c r="AA22" s="1"/>
  <c r="S21"/>
  <c r="AA21" s="1"/>
  <c r="S20"/>
  <c r="AA20" s="1"/>
  <c r="S19"/>
  <c r="S17"/>
  <c r="AA17" s="1"/>
  <c r="N16"/>
  <c r="J16" s="1"/>
  <c r="Z16" s="1"/>
  <c r="N15"/>
  <c r="J15" s="1"/>
  <c r="Z15" s="1"/>
  <c r="N14"/>
  <c r="N34" i="75"/>
  <c r="J34" s="1"/>
  <c r="S34" s="1"/>
  <c r="N33"/>
  <c r="J33" s="1"/>
  <c r="Z33" s="1"/>
  <c r="N32"/>
  <c r="J32" s="1"/>
  <c r="Z32" s="1"/>
  <c r="N31"/>
  <c r="J31" s="1"/>
  <c r="Z31" s="1"/>
  <c r="N30"/>
  <c r="J30" s="1"/>
  <c r="Z30" s="1"/>
  <c r="N29"/>
  <c r="J29" s="1"/>
  <c r="Z29" s="1"/>
  <c r="N28"/>
  <c r="J28" s="1"/>
  <c r="Z28" s="1"/>
  <c r="N27"/>
  <c r="J27" s="1"/>
  <c r="Z27" s="1"/>
  <c r="N26"/>
  <c r="J26" s="1"/>
  <c r="Z26" s="1"/>
  <c r="N25"/>
  <c r="J25" s="1"/>
  <c r="Z25" s="1"/>
  <c r="N24"/>
  <c r="J24" s="1"/>
  <c r="Z24" s="1"/>
  <c r="N23"/>
  <c r="J23" s="1"/>
  <c r="Z23" s="1"/>
  <c r="N22"/>
  <c r="J22" s="1"/>
  <c r="Z22" s="1"/>
  <c r="N21"/>
  <c r="J21" s="1"/>
  <c r="Z21" s="1"/>
  <c r="N20"/>
  <c r="J20" s="1"/>
  <c r="Z20" s="1"/>
  <c r="N19"/>
  <c r="J19" s="1"/>
  <c r="Z19" s="1"/>
  <c r="N18"/>
  <c r="J18" s="1"/>
  <c r="N17"/>
  <c r="J17" s="1"/>
  <c r="N16"/>
  <c r="N34" i="74"/>
  <c r="J34" s="1"/>
  <c r="S34" s="1"/>
  <c r="N33"/>
  <c r="J33" s="1"/>
  <c r="S33" s="1"/>
  <c r="N32"/>
  <c r="J32" s="1"/>
  <c r="S32" s="1"/>
  <c r="N31"/>
  <c r="J31" s="1"/>
  <c r="S31" s="1"/>
  <c r="N30"/>
  <c r="J30" s="1"/>
  <c r="S30" s="1"/>
  <c r="N29"/>
  <c r="J29" s="1"/>
  <c r="S29" s="1"/>
  <c r="N28"/>
  <c r="J28" s="1"/>
  <c r="S28" s="1"/>
  <c r="N27"/>
  <c r="J27" s="1"/>
  <c r="S27" s="1"/>
  <c r="N26"/>
  <c r="J26" s="1"/>
  <c r="S26" s="1"/>
  <c r="N25"/>
  <c r="J25" s="1"/>
  <c r="S25" s="1"/>
  <c r="N24"/>
  <c r="J24" s="1"/>
  <c r="S24" s="1"/>
  <c r="N23"/>
  <c r="J23" s="1"/>
  <c r="S23" s="1"/>
  <c r="N22"/>
  <c r="J22" s="1"/>
  <c r="S22" s="1"/>
  <c r="N21"/>
  <c r="J21" s="1"/>
  <c r="S21" s="1"/>
  <c r="N20"/>
  <c r="J20" s="1"/>
  <c r="S20" s="1"/>
  <c r="N19"/>
  <c r="J19" s="1"/>
  <c r="S19" s="1"/>
  <c r="N18"/>
  <c r="J18" s="1"/>
  <c r="S18" s="1"/>
  <c r="N17"/>
  <c r="J17" s="1"/>
  <c r="S17" s="1"/>
  <c r="N16"/>
  <c r="J16" s="1"/>
  <c r="S16" s="1"/>
  <c r="N15"/>
  <c r="J15" s="1"/>
  <c r="S15" s="1"/>
  <c r="N14"/>
  <c r="N34" i="73"/>
  <c r="J34" s="1"/>
  <c r="S34" s="1"/>
  <c r="N33"/>
  <c r="J33" s="1"/>
  <c r="S33" s="1"/>
  <c r="N32"/>
  <c r="J32" s="1"/>
  <c r="S32" s="1"/>
  <c r="N31"/>
  <c r="J31" s="1"/>
  <c r="S31" s="1"/>
  <c r="N30"/>
  <c r="J30" s="1"/>
  <c r="S30" s="1"/>
  <c r="N29"/>
  <c r="J29" s="1"/>
  <c r="S29" s="1"/>
  <c r="N28"/>
  <c r="J28" s="1"/>
  <c r="S28" s="1"/>
  <c r="N27"/>
  <c r="J27" s="1"/>
  <c r="S27" s="1"/>
  <c r="N26"/>
  <c r="J26" s="1"/>
  <c r="S26" s="1"/>
  <c r="N25"/>
  <c r="J25" s="1"/>
  <c r="S25" s="1"/>
  <c r="N24"/>
  <c r="J24" s="1"/>
  <c r="S24" s="1"/>
  <c r="N23"/>
  <c r="J23" s="1"/>
  <c r="S23" s="1"/>
  <c r="N22"/>
  <c r="J22" s="1"/>
  <c r="S22" s="1"/>
  <c r="S15" i="75"/>
  <c r="AA15" s="1"/>
  <c r="S14"/>
  <c r="N20" i="73"/>
  <c r="J20" s="1"/>
  <c r="S20" s="1"/>
  <c r="N19"/>
  <c r="J19" s="1"/>
  <c r="S19" s="1"/>
  <c r="N18"/>
  <c r="J18" s="1"/>
  <c r="S18" s="1"/>
  <c r="N17"/>
  <c r="J17" s="1"/>
  <c r="S17" s="1"/>
  <c r="N16"/>
  <c r="J16" s="1"/>
  <c r="S16" s="1"/>
  <c r="N15"/>
  <c r="S14"/>
  <c r="M28" i="17" l="1"/>
  <c r="I28" s="1"/>
  <c r="R28"/>
  <c r="Q28" s="1"/>
  <c r="Y28" s="1"/>
  <c r="M32"/>
  <c r="I32" s="1"/>
  <c r="R32"/>
  <c r="Q32" s="1"/>
  <c r="Y32" s="1"/>
  <c r="U14"/>
  <c r="AB14"/>
  <c r="M16"/>
  <c r="I16" s="1"/>
  <c r="R16"/>
  <c r="Z49" i="72"/>
  <c r="AA49"/>
  <c r="AB49"/>
  <c r="AB45"/>
  <c r="Z45"/>
  <c r="Z47"/>
  <c r="AA45"/>
  <c r="AH50"/>
  <c r="AF47"/>
  <c r="AG45"/>
  <c r="AH45"/>
  <c r="AF45"/>
  <c r="X18"/>
  <c r="X25"/>
  <c r="X28"/>
  <c r="X30"/>
  <c r="X32"/>
  <c r="X34"/>
  <c r="X36"/>
  <c r="X38"/>
  <c r="X40"/>
  <c r="X42"/>
  <c r="X54"/>
  <c r="X56"/>
  <c r="X58"/>
  <c r="X60"/>
  <c r="X62"/>
  <c r="X64"/>
  <c r="X15"/>
  <c r="X27"/>
  <c r="X31"/>
  <c r="X35"/>
  <c r="X39"/>
  <c r="X43"/>
  <c r="X55"/>
  <c r="X59"/>
  <c r="X63"/>
  <c r="W21"/>
  <c r="W23" s="1"/>
  <c r="W22"/>
  <c r="W28"/>
  <c r="W30"/>
  <c r="W32"/>
  <c r="W34"/>
  <c r="W36"/>
  <c r="W38"/>
  <c r="W40"/>
  <c r="W42"/>
  <c r="Y17"/>
  <c r="Y29"/>
  <c r="Y31"/>
  <c r="Y33"/>
  <c r="Y35"/>
  <c r="Y37"/>
  <c r="Y39"/>
  <c r="Y41"/>
  <c r="Y55"/>
  <c r="W56"/>
  <c r="Y57"/>
  <c r="W58"/>
  <c r="Y59"/>
  <c r="W60"/>
  <c r="Y61"/>
  <c r="W62"/>
  <c r="Y63"/>
  <c r="W64"/>
  <c r="Y65"/>
  <c r="Y26"/>
  <c r="W25"/>
  <c r="Y24"/>
  <c r="W19"/>
  <c r="Y18"/>
  <c r="W17"/>
  <c r="Y16"/>
  <c r="W15"/>
  <c r="Y14"/>
  <c r="W13"/>
  <c r="W27"/>
  <c r="W53"/>
  <c r="Y54"/>
  <c r="W51"/>
  <c r="Y51"/>
  <c r="X50"/>
  <c r="W48"/>
  <c r="X48"/>
  <c r="Y48"/>
  <c r="W47"/>
  <c r="W46"/>
  <c r="X46"/>
  <c r="Y46"/>
  <c r="X45"/>
  <c r="X21"/>
  <c r="X29"/>
  <c r="X33"/>
  <c r="X37"/>
  <c r="X41"/>
  <c r="X53"/>
  <c r="X57"/>
  <c r="X61"/>
  <c r="X65"/>
  <c r="W29"/>
  <c r="W31"/>
  <c r="W33"/>
  <c r="W35"/>
  <c r="W37"/>
  <c r="W39"/>
  <c r="W41"/>
  <c r="W43"/>
  <c r="Y28"/>
  <c r="Y30"/>
  <c r="Y32"/>
  <c r="Y34"/>
  <c r="Y36"/>
  <c r="Y38"/>
  <c r="Y40"/>
  <c r="Y42"/>
  <c r="W55"/>
  <c r="Y56"/>
  <c r="W57"/>
  <c r="Y58"/>
  <c r="W59"/>
  <c r="Y60"/>
  <c r="W61"/>
  <c r="Y62"/>
  <c r="W63"/>
  <c r="Y64"/>
  <c r="W65"/>
  <c r="W26"/>
  <c r="Y25"/>
  <c r="W24"/>
  <c r="Y19"/>
  <c r="W18"/>
  <c r="X17"/>
  <c r="W16"/>
  <c r="Y15"/>
  <c r="W14"/>
  <c r="Y13"/>
  <c r="Y21"/>
  <c r="Y22"/>
  <c r="Y27"/>
  <c r="Y53"/>
  <c r="W54"/>
  <c r="W50"/>
  <c r="Y50"/>
  <c r="W49"/>
  <c r="X49"/>
  <c r="Y49"/>
  <c r="Y47"/>
  <c r="Y45"/>
  <c r="W45"/>
  <c r="S18" i="76"/>
  <c r="AA18" s="1"/>
  <c r="Z18" i="17"/>
  <c r="Z22"/>
  <c r="AC21" i="76"/>
  <c r="O35" i="74"/>
  <c r="AN64" i="72"/>
  <c r="AN60"/>
  <c r="AN56"/>
  <c r="X23"/>
  <c r="T23"/>
  <c r="AI44"/>
  <c r="AI66" s="1"/>
  <c r="AK44"/>
  <c r="AC19" i="77"/>
  <c r="AC27"/>
  <c r="AC26" i="76"/>
  <c r="H65" i="71"/>
  <c r="M30" i="17"/>
  <c r="I30" s="1"/>
  <c r="R30" s="1"/>
  <c r="M34"/>
  <c r="I34" s="1"/>
  <c r="R34" s="1"/>
  <c r="U22" i="72"/>
  <c r="AN22" s="1"/>
  <c r="U30"/>
  <c r="AN30" s="1"/>
  <c r="U38"/>
  <c r="AN38" s="1"/>
  <c r="AS23" s="1"/>
  <c r="U53"/>
  <c r="U61"/>
  <c r="U16"/>
  <c r="U34"/>
  <c r="AN34" s="1"/>
  <c r="U57"/>
  <c r="T29"/>
  <c r="T31"/>
  <c r="T33"/>
  <c r="T35"/>
  <c r="T37"/>
  <c r="T39"/>
  <c r="T41"/>
  <c r="V28"/>
  <c r="V30"/>
  <c r="V32"/>
  <c r="V34"/>
  <c r="V36"/>
  <c r="V38"/>
  <c r="V40"/>
  <c r="V42"/>
  <c r="V56"/>
  <c r="V58"/>
  <c r="V60"/>
  <c r="V62"/>
  <c r="V64"/>
  <c r="V25"/>
  <c r="V19"/>
  <c r="U17"/>
  <c r="V15"/>
  <c r="V13"/>
  <c r="V22"/>
  <c r="V23" s="1"/>
  <c r="V27"/>
  <c r="V53"/>
  <c r="T50"/>
  <c r="V50"/>
  <c r="T49"/>
  <c r="U49"/>
  <c r="V49"/>
  <c r="V45"/>
  <c r="T45"/>
  <c r="U26"/>
  <c r="AN26" s="1"/>
  <c r="U42"/>
  <c r="AN42" s="1"/>
  <c r="U65"/>
  <c r="T28"/>
  <c r="T30"/>
  <c r="T32"/>
  <c r="T34"/>
  <c r="T36"/>
  <c r="T38"/>
  <c r="T40"/>
  <c r="T42"/>
  <c r="T52"/>
  <c r="AM52" s="1"/>
  <c r="V17"/>
  <c r="V29"/>
  <c r="V31"/>
  <c r="V33"/>
  <c r="V35"/>
  <c r="V37"/>
  <c r="V39"/>
  <c r="V41"/>
  <c r="V52"/>
  <c r="T56"/>
  <c r="T58"/>
  <c r="T60"/>
  <c r="T62"/>
  <c r="T64"/>
  <c r="T25"/>
  <c r="T19"/>
  <c r="T17"/>
  <c r="T15"/>
  <c r="T13"/>
  <c r="T27"/>
  <c r="T53"/>
  <c r="V51"/>
  <c r="U50"/>
  <c r="T47"/>
  <c r="U45"/>
  <c r="AE47"/>
  <c r="AC48"/>
  <c r="AD48"/>
  <c r="AE48"/>
  <c r="AD47"/>
  <c r="AC46"/>
  <c r="AD46"/>
  <c r="AE46"/>
  <c r="R18"/>
  <c r="R25"/>
  <c r="R29"/>
  <c r="R33"/>
  <c r="R37"/>
  <c r="R41"/>
  <c r="R55"/>
  <c r="R59"/>
  <c r="AN59" s="1"/>
  <c r="R63"/>
  <c r="Q21"/>
  <c r="R21"/>
  <c r="R31"/>
  <c r="AN31" s="1"/>
  <c r="R39"/>
  <c r="AN39" s="1"/>
  <c r="R57"/>
  <c r="AN57" s="1"/>
  <c r="R65"/>
  <c r="AN65" s="1"/>
  <c r="Q28"/>
  <c r="Q30"/>
  <c r="Q32"/>
  <c r="Q34"/>
  <c r="Q36"/>
  <c r="Q38"/>
  <c r="Q40"/>
  <c r="Q42"/>
  <c r="AM42" s="1"/>
  <c r="Q43"/>
  <c r="AM43" s="1"/>
  <c r="S17"/>
  <c r="S29"/>
  <c r="S31"/>
  <c r="S33"/>
  <c r="S35"/>
  <c r="S37"/>
  <c r="S39"/>
  <c r="S41"/>
  <c r="S43"/>
  <c r="AO43" s="1"/>
  <c r="Q55"/>
  <c r="AM55" s="1"/>
  <c r="AL55" s="1"/>
  <c r="AP55" s="1"/>
  <c r="Q56"/>
  <c r="Q57"/>
  <c r="AM57" s="1"/>
  <c r="AL57" s="1"/>
  <c r="AP57" s="1"/>
  <c r="Q58"/>
  <c r="Q59"/>
  <c r="AM59" s="1"/>
  <c r="AL59" s="1"/>
  <c r="Q60"/>
  <c r="Q61"/>
  <c r="AM61" s="1"/>
  <c r="Q62"/>
  <c r="Q63"/>
  <c r="AM63" s="1"/>
  <c r="AL63" s="1"/>
  <c r="AP63" s="1"/>
  <c r="Q64"/>
  <c r="Q65"/>
  <c r="AM65" s="1"/>
  <c r="Q26"/>
  <c r="AM26" s="1"/>
  <c r="AL26" s="1"/>
  <c r="AP26" s="1"/>
  <c r="Q25"/>
  <c r="Q24"/>
  <c r="AM24" s="1"/>
  <c r="Q19"/>
  <c r="Q18"/>
  <c r="AM18" s="1"/>
  <c r="Q17"/>
  <c r="Q16"/>
  <c r="AM16" s="1"/>
  <c r="Q15"/>
  <c r="AM15" s="1"/>
  <c r="Q14"/>
  <c r="AM14" s="1"/>
  <c r="Q13"/>
  <c r="S21"/>
  <c r="Q27"/>
  <c r="AM27" s="1"/>
  <c r="Q53"/>
  <c r="Q54"/>
  <c r="AM54" s="1"/>
  <c r="AL54" s="1"/>
  <c r="AP54" s="1"/>
  <c r="S51"/>
  <c r="AO51" s="1"/>
  <c r="R50"/>
  <c r="AN50" s="1"/>
  <c r="Q47"/>
  <c r="S47"/>
  <c r="AO47" s="1"/>
  <c r="R45"/>
  <c r="R15"/>
  <c r="AN15" s="1"/>
  <c r="R27"/>
  <c r="AN27" s="1"/>
  <c r="R35"/>
  <c r="AN35" s="1"/>
  <c r="R43"/>
  <c r="AN43" s="1"/>
  <c r="R53"/>
  <c r="AN53" s="1"/>
  <c r="R61"/>
  <c r="AN61" s="1"/>
  <c r="Q22"/>
  <c r="Q29"/>
  <c r="Q31"/>
  <c r="Q33"/>
  <c r="Q35"/>
  <c r="Q37"/>
  <c r="Q39"/>
  <c r="Q41"/>
  <c r="AM41" s="1"/>
  <c r="S28"/>
  <c r="S30"/>
  <c r="S32"/>
  <c r="S34"/>
  <c r="S36"/>
  <c r="S38"/>
  <c r="S40"/>
  <c r="S42"/>
  <c r="S55"/>
  <c r="AO55" s="1"/>
  <c r="S56"/>
  <c r="AO56" s="1"/>
  <c r="S57"/>
  <c r="S58"/>
  <c r="AO58" s="1"/>
  <c r="S59"/>
  <c r="AO59" s="1"/>
  <c r="S60"/>
  <c r="AO60" s="1"/>
  <c r="S61"/>
  <c r="S62"/>
  <c r="AO62" s="1"/>
  <c r="S63"/>
  <c r="AO63" s="1"/>
  <c r="S64"/>
  <c r="AO64" s="1"/>
  <c r="S65"/>
  <c r="S26"/>
  <c r="AO26" s="1"/>
  <c r="S25"/>
  <c r="AO25" s="1"/>
  <c r="S24"/>
  <c r="S19"/>
  <c r="AO19" s="1"/>
  <c r="S18"/>
  <c r="AO18" s="1"/>
  <c r="R17"/>
  <c r="S16"/>
  <c r="AO16" s="1"/>
  <c r="S15"/>
  <c r="S14"/>
  <c r="S13"/>
  <c r="S22"/>
  <c r="AO22" s="1"/>
  <c r="S27"/>
  <c r="AO27" s="1"/>
  <c r="S53"/>
  <c r="AO53" s="1"/>
  <c r="S54"/>
  <c r="Q51"/>
  <c r="AM51" s="1"/>
  <c r="AL51" s="1"/>
  <c r="AP51" s="1"/>
  <c r="Q50"/>
  <c r="S50"/>
  <c r="Q49"/>
  <c r="R49"/>
  <c r="S49"/>
  <c r="Q48"/>
  <c r="AM48" s="1"/>
  <c r="R48"/>
  <c r="AN48" s="1"/>
  <c r="S48"/>
  <c r="AO48" s="1"/>
  <c r="Q46"/>
  <c r="AM46" s="1"/>
  <c r="R46"/>
  <c r="AN46" s="1"/>
  <c r="AL46" s="1"/>
  <c r="AP46" s="1"/>
  <c r="S46"/>
  <c r="AO46" s="1"/>
  <c r="S45"/>
  <c r="Q45"/>
  <c r="Z28" i="17"/>
  <c r="Z32"/>
  <c r="V16"/>
  <c r="AN62" i="72"/>
  <c r="AN58"/>
  <c r="AN54"/>
  <c r="AN36"/>
  <c r="AN55"/>
  <c r="AN63"/>
  <c r="AM22"/>
  <c r="AO57"/>
  <c r="AO61"/>
  <c r="AO65"/>
  <c r="AO24"/>
  <c r="AO14"/>
  <c r="AO54"/>
  <c r="N65" i="71"/>
  <c r="AN47" i="72"/>
  <c r="Q15" i="74"/>
  <c r="Q17"/>
  <c r="V19"/>
  <c r="Q19"/>
  <c r="V34" i="75"/>
  <c r="V34" i="77"/>
  <c r="V15" i="78"/>
  <c r="Q16" i="74"/>
  <c r="V16"/>
  <c r="Q18"/>
  <c r="V18"/>
  <c r="J16" i="75"/>
  <c r="N35"/>
  <c r="V28" i="74"/>
  <c r="Q28"/>
  <c r="Q29"/>
  <c r="V29"/>
  <c r="Q30"/>
  <c r="V30"/>
  <c r="Q31"/>
  <c r="V31"/>
  <c r="V32"/>
  <c r="Q32"/>
  <c r="Q33"/>
  <c r="V33"/>
  <c r="Q34"/>
  <c r="V34"/>
  <c r="Q27" i="73"/>
  <c r="V27"/>
  <c r="Q31"/>
  <c r="V31"/>
  <c r="U18" i="77"/>
  <c r="J15" i="73"/>
  <c r="N35"/>
  <c r="J14" i="74"/>
  <c r="N35"/>
  <c r="J14" i="76"/>
  <c r="N35"/>
  <c r="J17" i="77"/>
  <c r="N35"/>
  <c r="J14" i="78"/>
  <c r="N35"/>
  <c r="J14" i="16"/>
  <c r="N35"/>
  <c r="L15" i="74"/>
  <c r="P35"/>
  <c r="L14" i="76"/>
  <c r="P35"/>
  <c r="L14" i="78"/>
  <c r="P35"/>
  <c r="R17" i="17"/>
  <c r="L14" i="75"/>
  <c r="P35"/>
  <c r="L14" i="77"/>
  <c r="P35"/>
  <c r="L14" i="16"/>
  <c r="P35"/>
  <c r="M19" i="17"/>
  <c r="M21"/>
  <c r="I21" s="1"/>
  <c r="R21" s="1"/>
  <c r="M23"/>
  <c r="I23" s="1"/>
  <c r="R23"/>
  <c r="R25"/>
  <c r="T27"/>
  <c r="AB27" s="1"/>
  <c r="AA27"/>
  <c r="T29"/>
  <c r="AB29" s="1"/>
  <c r="AA29"/>
  <c r="T31"/>
  <c r="AB31" s="1"/>
  <c r="AA31"/>
  <c r="T33"/>
  <c r="AB33" s="1"/>
  <c r="AA33"/>
  <c r="R14"/>
  <c r="Q15"/>
  <c r="Y15" s="1"/>
  <c r="S18"/>
  <c r="AA18" s="1"/>
  <c r="S22"/>
  <c r="AA22" s="1"/>
  <c r="S30"/>
  <c r="N35"/>
  <c r="R18" i="16"/>
  <c r="T18"/>
  <c r="Q19"/>
  <c r="Y19" s="1"/>
  <c r="Q23"/>
  <c r="Y23" s="1"/>
  <c r="Q27"/>
  <c r="Y27" s="1"/>
  <c r="AC27" s="1"/>
  <c r="Z27"/>
  <c r="AC30"/>
  <c r="Q31"/>
  <c r="Y31" s="1"/>
  <c r="AC31" s="1"/>
  <c r="Z31"/>
  <c r="R18" i="77"/>
  <c r="Z18" s="1"/>
  <c r="AC21"/>
  <c r="AC25"/>
  <c r="AC24" i="76"/>
  <c r="AC28"/>
  <c r="AC32"/>
  <c r="AC15" i="75"/>
  <c r="V23" i="74"/>
  <c r="Q22"/>
  <c r="Q23"/>
  <c r="V24"/>
  <c r="Q25"/>
  <c r="V25"/>
  <c r="Q26"/>
  <c r="V26"/>
  <c r="Q27"/>
  <c r="V27"/>
  <c r="L17" i="73"/>
  <c r="P35"/>
  <c r="Q22"/>
  <c r="V23"/>
  <c r="V24"/>
  <c r="Q23"/>
  <c r="Q25"/>
  <c r="V25"/>
  <c r="Q26"/>
  <c r="V26"/>
  <c r="Q28"/>
  <c r="V28"/>
  <c r="Q29"/>
  <c r="V29"/>
  <c r="Q30"/>
  <c r="V30"/>
  <c r="Q32"/>
  <c r="V32"/>
  <c r="Q33"/>
  <c r="V33"/>
  <c r="Q34"/>
  <c r="V34"/>
  <c r="AN16" i="72"/>
  <c r="AC22" i="77"/>
  <c r="AC24"/>
  <c r="R14" i="76"/>
  <c r="I35"/>
  <c r="AC23"/>
  <c r="AC25"/>
  <c r="AC27"/>
  <c r="AC29"/>
  <c r="AC31"/>
  <c r="AC33"/>
  <c r="T18" i="75"/>
  <c r="Y14"/>
  <c r="I14" i="74"/>
  <c r="M35"/>
  <c r="Q15" i="73"/>
  <c r="V16"/>
  <c r="Q16"/>
  <c r="Q17"/>
  <c r="V18"/>
  <c r="Q18"/>
  <c r="Q19"/>
  <c r="V19"/>
  <c r="U23" i="72"/>
  <c r="AN21"/>
  <c r="T18" i="17"/>
  <c r="Y14" i="16"/>
  <c r="AC28"/>
  <c r="Q29"/>
  <c r="Y29" s="1"/>
  <c r="Z29"/>
  <c r="T44" i="72"/>
  <c r="T66" s="1"/>
  <c r="O43" i="71"/>
  <c r="O65" s="1"/>
  <c r="F65"/>
  <c r="AM13" i="72"/>
  <c r="AM17"/>
  <c r="AO40"/>
  <c r="AO38"/>
  <c r="AO36"/>
  <c r="AO34"/>
  <c r="AO32"/>
  <c r="AO30"/>
  <c r="AB44"/>
  <c r="AO28"/>
  <c r="AM38"/>
  <c r="AM36"/>
  <c r="AL36" s="1"/>
  <c r="AM34"/>
  <c r="AM32"/>
  <c r="AM30"/>
  <c r="Z44"/>
  <c r="AM28"/>
  <c r="AN13"/>
  <c r="AB23"/>
  <c r="AM45"/>
  <c r="AO45"/>
  <c r="AO49"/>
  <c r="AM49"/>
  <c r="AE44"/>
  <c r="AE66" s="1"/>
  <c r="AF44"/>
  <c r="AH23"/>
  <c r="AG23"/>
  <c r="AO21"/>
  <c r="AA14" i="75"/>
  <c r="S17"/>
  <c r="S18"/>
  <c r="AA18" s="1"/>
  <c r="S19"/>
  <c r="S20"/>
  <c r="AA20" s="1"/>
  <c r="S21"/>
  <c r="AA21" s="1"/>
  <c r="AC21" s="1"/>
  <c r="S22"/>
  <c r="S23"/>
  <c r="S24"/>
  <c r="AA24" s="1"/>
  <c r="AC24" s="1"/>
  <c r="S25"/>
  <c r="S26"/>
  <c r="S27"/>
  <c r="S28"/>
  <c r="S29"/>
  <c r="S30"/>
  <c r="S31"/>
  <c r="S32"/>
  <c r="S33"/>
  <c r="S15" i="76"/>
  <c r="S16"/>
  <c r="AA19"/>
  <c r="AC19" s="1"/>
  <c r="AA14" i="77"/>
  <c r="AA16"/>
  <c r="S18"/>
  <c r="S28"/>
  <c r="S29"/>
  <c r="S30"/>
  <c r="S31"/>
  <c r="S32"/>
  <c r="S33"/>
  <c r="S15" i="16"/>
  <c r="AA15" s="1"/>
  <c r="S16"/>
  <c r="S17"/>
  <c r="S18"/>
  <c r="AA18" s="1"/>
  <c r="S19"/>
  <c r="AA19" s="1"/>
  <c r="S20"/>
  <c r="AA20" s="1"/>
  <c r="S21"/>
  <c r="AA21" s="1"/>
  <c r="AC21" s="1"/>
  <c r="S22"/>
  <c r="S23"/>
  <c r="AA23" s="1"/>
  <c r="S24"/>
  <c r="AA24" s="1"/>
  <c r="AC24" s="1"/>
  <c r="S25"/>
  <c r="AA25" s="1"/>
  <c r="S26"/>
  <c r="U19" i="75"/>
  <c r="U20"/>
  <c r="U21"/>
  <c r="U22"/>
  <c r="U23"/>
  <c r="U24"/>
  <c r="U25"/>
  <c r="U26"/>
  <c r="U27"/>
  <c r="U28"/>
  <c r="U29"/>
  <c r="U30"/>
  <c r="U31"/>
  <c r="U32"/>
  <c r="U33"/>
  <c r="U15" i="76"/>
  <c r="U16"/>
  <c r="U17"/>
  <c r="U19" i="77"/>
  <c r="V19" s="1"/>
  <c r="U20"/>
  <c r="U21"/>
  <c r="U22"/>
  <c r="V23" s="1"/>
  <c r="U23"/>
  <c r="V24" s="1"/>
  <c r="U24"/>
  <c r="U25"/>
  <c r="V25" s="1"/>
  <c r="U26"/>
  <c r="U27"/>
  <c r="U28"/>
  <c r="U29"/>
  <c r="U30"/>
  <c r="U31"/>
  <c r="U32"/>
  <c r="U33"/>
  <c r="U19" i="16"/>
  <c r="U20"/>
  <c r="U21"/>
  <c r="U22"/>
  <c r="U23"/>
  <c r="U24"/>
  <c r="U25"/>
  <c r="U26"/>
  <c r="U27"/>
  <c r="V27" s="1"/>
  <c r="U28"/>
  <c r="V28" s="1"/>
  <c r="U29"/>
  <c r="V29" s="1"/>
  <c r="U30"/>
  <c r="V30" s="1"/>
  <c r="U31"/>
  <c r="V31" s="1"/>
  <c r="U32"/>
  <c r="V32" s="1"/>
  <c r="U33"/>
  <c r="S17" i="17"/>
  <c r="AA17" s="1"/>
  <c r="Z17"/>
  <c r="F38"/>
  <c r="F40" s="1"/>
  <c r="J35"/>
  <c r="H45" s="1"/>
  <c r="U15" i="75"/>
  <c r="V15" s="1"/>
  <c r="U16"/>
  <c r="U17"/>
  <c r="U19" i="76"/>
  <c r="V19" s="1"/>
  <c r="U20"/>
  <c r="U21"/>
  <c r="U22"/>
  <c r="U23"/>
  <c r="U24"/>
  <c r="U25"/>
  <c r="U26"/>
  <c r="V26" s="1"/>
  <c r="U27"/>
  <c r="U28"/>
  <c r="V28" s="1"/>
  <c r="U29"/>
  <c r="U30"/>
  <c r="V30" s="1"/>
  <c r="U31"/>
  <c r="U32"/>
  <c r="U33"/>
  <c r="U15" i="77"/>
  <c r="V15" s="1"/>
  <c r="U16"/>
  <c r="V16" s="1"/>
  <c r="U17"/>
  <c r="U15" i="16"/>
  <c r="U16"/>
  <c r="U17"/>
  <c r="O35" i="17"/>
  <c r="O38" s="1"/>
  <c r="T19"/>
  <c r="AB19" s="1"/>
  <c r="AA19"/>
  <c r="T21"/>
  <c r="AB21" s="1"/>
  <c r="AA21"/>
  <c r="T23"/>
  <c r="AB23" s="1"/>
  <c r="AA23"/>
  <c r="M27"/>
  <c r="I27" s="1"/>
  <c r="M29"/>
  <c r="I29" s="1"/>
  <c r="R29"/>
  <c r="M31"/>
  <c r="I31" s="1"/>
  <c r="M33"/>
  <c r="I33" s="1"/>
  <c r="R33" s="1"/>
  <c r="P35"/>
  <c r="H47" s="1"/>
  <c r="Z20"/>
  <c r="Z24"/>
  <c r="AC24" s="1"/>
  <c r="K35"/>
  <c r="Q18"/>
  <c r="V23"/>
  <c r="Q22"/>
  <c r="Y22" s="1"/>
  <c r="AC22" s="1"/>
  <c r="R26"/>
  <c r="S20"/>
  <c r="AA20" s="1"/>
  <c r="S24"/>
  <c r="AA24" s="1"/>
  <c r="S28"/>
  <c r="S32"/>
  <c r="C35"/>
  <c r="C36" s="1"/>
  <c r="C14" i="96"/>
  <c r="E14" s="1"/>
  <c r="O17" i="16"/>
  <c r="M17"/>
  <c r="S15" i="17"/>
  <c r="Z15"/>
  <c r="Y18"/>
  <c r="U18" i="76"/>
  <c r="AB18"/>
  <c r="AC18" s="1"/>
  <c r="U18" i="16"/>
  <c r="AB18"/>
  <c r="O17" i="78"/>
  <c r="M17"/>
  <c r="V18"/>
  <c r="Q18"/>
  <c r="I35" i="77"/>
  <c r="H35" s="1"/>
  <c r="R14"/>
  <c r="AC15"/>
  <c r="AC23"/>
  <c r="R17" i="76"/>
  <c r="AC22"/>
  <c r="AC30"/>
  <c r="O17" i="75"/>
  <c r="M17"/>
  <c r="R18"/>
  <c r="Z18" s="1"/>
  <c r="T17" i="74"/>
  <c r="T35" s="1"/>
  <c r="K35"/>
  <c r="H46" s="1"/>
  <c r="K17" i="73"/>
  <c r="O35"/>
  <c r="AN40" i="72"/>
  <c r="AN32"/>
  <c r="R44"/>
  <c r="AN28"/>
  <c r="AN24"/>
  <c r="AN14"/>
  <c r="U44"/>
  <c r="AJ44"/>
  <c r="AJ66" s="1"/>
  <c r="AK66"/>
  <c r="AP36"/>
  <c r="AP44"/>
  <c r="V26" i="77"/>
  <c r="AC26"/>
  <c r="M35" i="76"/>
  <c r="V24"/>
  <c r="V25"/>
  <c r="V27"/>
  <c r="V29"/>
  <c r="V31"/>
  <c r="V33"/>
  <c r="U18" i="75"/>
  <c r="AB18"/>
  <c r="M35" i="73"/>
  <c r="I14"/>
  <c r="Q21"/>
  <c r="AN52" i="72"/>
  <c r="AN41"/>
  <c r="AN37"/>
  <c r="AN33"/>
  <c r="AN29"/>
  <c r="AN25"/>
  <c r="AN18"/>
  <c r="D14" i="96"/>
  <c r="U18" i="17"/>
  <c r="U35" s="1"/>
  <c r="Q15" i="16"/>
  <c r="Y15" s="1"/>
  <c r="AC15" s="1"/>
  <c r="V15"/>
  <c r="Q25"/>
  <c r="Y25" s="1"/>
  <c r="AC25" s="1"/>
  <c r="V25"/>
  <c r="AC32"/>
  <c r="Q33"/>
  <c r="Y33" s="1"/>
  <c r="V33"/>
  <c r="Z33"/>
  <c r="K18" i="77"/>
  <c r="O35"/>
  <c r="AC16"/>
  <c r="V27"/>
  <c r="V18" i="76"/>
  <c r="V23"/>
  <c r="R23" i="72"/>
  <c r="R66" s="1"/>
  <c r="AO50"/>
  <c r="V32" i="76"/>
  <c r="AO13" i="72"/>
  <c r="AO15"/>
  <c r="AM19"/>
  <c r="AM39"/>
  <c r="AM50"/>
  <c r="AM53"/>
  <c r="AN17"/>
  <c r="AM25"/>
  <c r="AM64"/>
  <c r="AM62"/>
  <c r="AM60"/>
  <c r="AM58"/>
  <c r="AM56"/>
  <c r="AO41"/>
  <c r="AO39"/>
  <c r="AO37"/>
  <c r="AO35"/>
  <c r="AO33"/>
  <c r="AO31"/>
  <c r="AO29"/>
  <c r="AO17"/>
  <c r="AB66"/>
  <c r="AM40"/>
  <c r="AL40" s="1"/>
  <c r="AP40" s="1"/>
  <c r="AM37"/>
  <c r="AL37" s="1"/>
  <c r="AP37" s="1"/>
  <c r="AM35"/>
  <c r="AM33"/>
  <c r="AL33" s="1"/>
  <c r="AP33" s="1"/>
  <c r="AM31"/>
  <c r="AM29"/>
  <c r="AL29" s="1"/>
  <c r="AP29" s="1"/>
  <c r="AA23"/>
  <c r="Z23"/>
  <c r="Z66" s="1"/>
  <c r="AA44"/>
  <c r="AC23"/>
  <c r="AN45"/>
  <c r="AM47"/>
  <c r="AN49"/>
  <c r="AC44"/>
  <c r="AD44"/>
  <c r="AD66" s="1"/>
  <c r="AO42"/>
  <c r="AH44"/>
  <c r="AH66" s="1"/>
  <c r="AG44"/>
  <c r="AF23"/>
  <c r="AF66" s="1"/>
  <c r="AM21"/>
  <c r="AO52"/>
  <c r="Q30" i="17" l="1"/>
  <c r="Y30" s="1"/>
  <c r="Z30"/>
  <c r="Q34"/>
  <c r="V34"/>
  <c r="AL48" i="72"/>
  <c r="AP48" s="1"/>
  <c r="AL27"/>
  <c r="AP27" s="1"/>
  <c r="AL65"/>
  <c r="AP65" s="1"/>
  <c r="AL61"/>
  <c r="AP61" s="1"/>
  <c r="AL43"/>
  <c r="AP43" s="1"/>
  <c r="AL42"/>
  <c r="AP42" s="1"/>
  <c r="AL47"/>
  <c r="AP47" s="1"/>
  <c r="AL58"/>
  <c r="AP58" s="1"/>
  <c r="AL25"/>
  <c r="AP25" s="1"/>
  <c r="AL53"/>
  <c r="AP53" s="1"/>
  <c r="AL39"/>
  <c r="AP39" s="1"/>
  <c r="AL15"/>
  <c r="AP15" s="1"/>
  <c r="AA66"/>
  <c r="AL31"/>
  <c r="AP31" s="1"/>
  <c r="AL35"/>
  <c r="AP35" s="1"/>
  <c r="AL56"/>
  <c r="AP56" s="1"/>
  <c r="AL60"/>
  <c r="AP60" s="1"/>
  <c r="AL64"/>
  <c r="AP64" s="1"/>
  <c r="AL50"/>
  <c r="AP50" s="1"/>
  <c r="AL19"/>
  <c r="AP19" s="1"/>
  <c r="AL18"/>
  <c r="AP18" s="1"/>
  <c r="AS22"/>
  <c r="AL52"/>
  <c r="AP52" s="1"/>
  <c r="AL24"/>
  <c r="AP24" s="1"/>
  <c r="AG66"/>
  <c r="AL34"/>
  <c r="AP34" s="1"/>
  <c r="AL38"/>
  <c r="AP38" s="1"/>
  <c r="AN23"/>
  <c r="V24" i="16"/>
  <c r="AC19"/>
  <c r="AL22" i="72"/>
  <c r="S44"/>
  <c r="Q44"/>
  <c r="Q23"/>
  <c r="Q66" s="1"/>
  <c r="Q72" s="1"/>
  <c r="V44"/>
  <c r="V66" s="1"/>
  <c r="Y23"/>
  <c r="X44"/>
  <c r="X66" s="1"/>
  <c r="Q16" i="17"/>
  <c r="Y16" s="1"/>
  <c r="AC16" s="1"/>
  <c r="Z16"/>
  <c r="AL62" i="72"/>
  <c r="AP62" s="1"/>
  <c r="AL41"/>
  <c r="AP41" s="1"/>
  <c r="AO23"/>
  <c r="AL17"/>
  <c r="AP17" s="1"/>
  <c r="T35" i="17"/>
  <c r="T39" s="1"/>
  <c r="U66" i="72"/>
  <c r="AL16"/>
  <c r="AP16" s="1"/>
  <c r="S23"/>
  <c r="S66"/>
  <c r="Y44"/>
  <c r="Y66" s="1"/>
  <c r="W44"/>
  <c r="W66" s="1"/>
  <c r="S72"/>
  <c r="AN72"/>
  <c r="R72"/>
  <c r="Z21" i="17"/>
  <c r="Q21"/>
  <c r="Y21" s="1"/>
  <c r="AC21" s="1"/>
  <c r="AC66" i="72"/>
  <c r="T18" i="77"/>
  <c r="AA18"/>
  <c r="K35"/>
  <c r="H46" s="1"/>
  <c r="I35" i="73"/>
  <c r="H35" s="1"/>
  <c r="R14"/>
  <c r="AS14" i="72"/>
  <c r="AN44"/>
  <c r="I17" i="75"/>
  <c r="M35"/>
  <c r="R35" i="77"/>
  <c r="Q14"/>
  <c r="Z14"/>
  <c r="I17" i="78"/>
  <c r="M35"/>
  <c r="AA15" i="17"/>
  <c r="S35"/>
  <c r="K17" i="16"/>
  <c r="O35"/>
  <c r="AA32" i="17"/>
  <c r="AC32" s="1"/>
  <c r="V32"/>
  <c r="V18"/>
  <c r="E38"/>
  <c r="E40" s="1"/>
  <c r="H46"/>
  <c r="V33"/>
  <c r="Q33"/>
  <c r="Y33" s="1"/>
  <c r="AC33" s="1"/>
  <c r="Z33"/>
  <c r="V29"/>
  <c r="Q29"/>
  <c r="Y29" s="1"/>
  <c r="Z29"/>
  <c r="AA26" i="16"/>
  <c r="AC26" s="1"/>
  <c r="V26"/>
  <c r="AA22"/>
  <c r="AC22" s="1"/>
  <c r="V23"/>
  <c r="AA16"/>
  <c r="AC16" s="1"/>
  <c r="V16"/>
  <c r="AA33" i="77"/>
  <c r="AC33" s="1"/>
  <c r="V33"/>
  <c r="AA31"/>
  <c r="AC31" s="1"/>
  <c r="V31"/>
  <c r="AA29"/>
  <c r="AC29" s="1"/>
  <c r="V29"/>
  <c r="AA15" i="76"/>
  <c r="AC15" s="1"/>
  <c r="V15"/>
  <c r="AA32" i="75"/>
  <c r="AC32" s="1"/>
  <c r="V32"/>
  <c r="AA30"/>
  <c r="AC30" s="1"/>
  <c r="V30"/>
  <c r="AA28"/>
  <c r="AC28" s="1"/>
  <c r="V28"/>
  <c r="AA26"/>
  <c r="AC26" s="1"/>
  <c r="V26"/>
  <c r="AA22"/>
  <c r="AC22" s="1"/>
  <c r="V23"/>
  <c r="AL45" i="72"/>
  <c r="AN66"/>
  <c r="AM44"/>
  <c r="AL28"/>
  <c r="AS32"/>
  <c r="AL30"/>
  <c r="AP30" s="1"/>
  <c r="AO44"/>
  <c r="H35" i="76"/>
  <c r="R35"/>
  <c r="Q14"/>
  <c r="Q18" i="16"/>
  <c r="Y18" s="1"/>
  <c r="V18"/>
  <c r="V30" i="17"/>
  <c r="AA30"/>
  <c r="AC30" s="1"/>
  <c r="V15"/>
  <c r="V25"/>
  <c r="Q25"/>
  <c r="Y25" s="1"/>
  <c r="Z25"/>
  <c r="V24"/>
  <c r="Z23"/>
  <c r="Q23"/>
  <c r="Y23" s="1"/>
  <c r="L35" i="16"/>
  <c r="H47" s="1"/>
  <c r="AB14"/>
  <c r="U14"/>
  <c r="U35" s="1"/>
  <c r="AB14" i="77"/>
  <c r="L35"/>
  <c r="H47" s="1"/>
  <c r="U14"/>
  <c r="U35" s="1"/>
  <c r="J35" i="16"/>
  <c r="H45" s="1"/>
  <c r="Z14"/>
  <c r="S14"/>
  <c r="J35" i="78"/>
  <c r="H45" s="1"/>
  <c r="S14"/>
  <c r="Z17" i="77"/>
  <c r="J35"/>
  <c r="H45" s="1"/>
  <c r="S17"/>
  <c r="Z14" i="76"/>
  <c r="J35"/>
  <c r="H45" s="1"/>
  <c r="S14"/>
  <c r="Z16" i="75"/>
  <c r="J35"/>
  <c r="H45" s="1"/>
  <c r="S16"/>
  <c r="AM23" i="72"/>
  <c r="AM66" s="1"/>
  <c r="AL21"/>
  <c r="AL23" s="1"/>
  <c r="AP23" s="1"/>
  <c r="AO66"/>
  <c r="AC33" i="16"/>
  <c r="AB18" i="17"/>
  <c r="AB34" s="1"/>
  <c r="AB38" s="1"/>
  <c r="T17" i="73"/>
  <c r="K35"/>
  <c r="H46" s="1"/>
  <c r="Q18" i="75"/>
  <c r="Y18" s="1"/>
  <c r="AC18" s="1"/>
  <c r="V18"/>
  <c r="K17"/>
  <c r="O35"/>
  <c r="Q17" i="76"/>
  <c r="Y17" s="1"/>
  <c r="V17"/>
  <c r="K17" i="78"/>
  <c r="O35"/>
  <c r="I17" i="16"/>
  <c r="M35"/>
  <c r="AA28" i="17"/>
  <c r="AC28" s="1"/>
  <c r="V28"/>
  <c r="Z26"/>
  <c r="V26"/>
  <c r="Q26"/>
  <c r="Y26" s="1"/>
  <c r="AC26" s="1"/>
  <c r="R31"/>
  <c r="R27"/>
  <c r="Z17" i="76"/>
  <c r="AA32" i="77"/>
  <c r="AC32" s="1"/>
  <c r="V32"/>
  <c r="AA30"/>
  <c r="AC30" s="1"/>
  <c r="V30"/>
  <c r="AA28"/>
  <c r="AC28" s="1"/>
  <c r="V28"/>
  <c r="AA16" i="76"/>
  <c r="AC16" s="1"/>
  <c r="V16"/>
  <c r="AA33" i="75"/>
  <c r="AC33" s="1"/>
  <c r="V33"/>
  <c r="AA31"/>
  <c r="AC31" s="1"/>
  <c r="V31"/>
  <c r="AA29"/>
  <c r="AC29" s="1"/>
  <c r="V29"/>
  <c r="AA27"/>
  <c r="AC27" s="1"/>
  <c r="V27"/>
  <c r="AA25"/>
  <c r="AC25" s="1"/>
  <c r="V25"/>
  <c r="AA23"/>
  <c r="AC23" s="1"/>
  <c r="V24"/>
  <c r="AA19"/>
  <c r="AC19" s="1"/>
  <c r="V19"/>
  <c r="AL49" i="72"/>
  <c r="AP49" s="1"/>
  <c r="AL32"/>
  <c r="AP32" s="1"/>
  <c r="AL13"/>
  <c r="AP13" s="1"/>
  <c r="AC29" i="16"/>
  <c r="I35" i="74"/>
  <c r="H35" s="1"/>
  <c r="R14"/>
  <c r="U17" i="73"/>
  <c r="U35" s="1"/>
  <c r="L35"/>
  <c r="H47" s="1"/>
  <c r="Q18" i="77"/>
  <c r="Y18" s="1"/>
  <c r="V18"/>
  <c r="AC23" i="16"/>
  <c r="V19"/>
  <c r="Z14" i="17"/>
  <c r="V14"/>
  <c r="Q14"/>
  <c r="I19"/>
  <c r="M35"/>
  <c r="L35" i="75"/>
  <c r="H47" s="1"/>
  <c r="AB14"/>
  <c r="U14"/>
  <c r="V17" i="17"/>
  <c r="Q17"/>
  <c r="Y17" s="1"/>
  <c r="AC17" s="1"/>
  <c r="L35" i="78"/>
  <c r="H47" s="1"/>
  <c r="U14"/>
  <c r="U35" s="1"/>
  <c r="AB14" i="76"/>
  <c r="AB34" s="1"/>
  <c r="L35"/>
  <c r="H47" s="1"/>
  <c r="U14"/>
  <c r="U35" s="1"/>
  <c r="L35" i="74"/>
  <c r="H47" s="1"/>
  <c r="U15"/>
  <c r="Z18" i="16"/>
  <c r="J35" i="74"/>
  <c r="H45" s="1"/>
  <c r="S14"/>
  <c r="S35" s="1"/>
  <c r="J35" i="73"/>
  <c r="H45" s="1"/>
  <c r="S15"/>
  <c r="D38" i="17"/>
  <c r="V17" i="74"/>
  <c r="AL14" i="72"/>
  <c r="AP14" s="1"/>
  <c r="AC17" i="76" l="1"/>
  <c r="AC23" i="17"/>
  <c r="AC25"/>
  <c r="T38"/>
  <c r="S35" i="73"/>
  <c r="V15"/>
  <c r="U35" i="75"/>
  <c r="V14"/>
  <c r="I35" i="17"/>
  <c r="R19"/>
  <c r="Q14" i="74"/>
  <c r="Q35" s="1"/>
  <c r="R35"/>
  <c r="V14"/>
  <c r="V27" i="17"/>
  <c r="Z27"/>
  <c r="Q27"/>
  <c r="Y27" s="1"/>
  <c r="R17" i="16"/>
  <c r="I35"/>
  <c r="H35" s="1"/>
  <c r="T17" i="78"/>
  <c r="T35" s="1"/>
  <c r="K35"/>
  <c r="H46" s="1"/>
  <c r="T17" i="75"/>
  <c r="K35"/>
  <c r="H46" s="1"/>
  <c r="AA17"/>
  <c r="T35" i="73"/>
  <c r="V17"/>
  <c r="AA16" i="75"/>
  <c r="AA34" s="1"/>
  <c r="V16"/>
  <c r="S35"/>
  <c r="V17" i="77"/>
  <c r="AA17"/>
  <c r="AA34" s="1"/>
  <c r="S35"/>
  <c r="AC17"/>
  <c r="AC18" i="16"/>
  <c r="Q35" i="76"/>
  <c r="Y14"/>
  <c r="AL44" i="72"/>
  <c r="AP28"/>
  <c r="T17" i="16"/>
  <c r="K35"/>
  <c r="H46" s="1"/>
  <c r="AA17"/>
  <c r="AA34" i="17"/>
  <c r="V14" i="77"/>
  <c r="Q35"/>
  <c r="Y14"/>
  <c r="V14" i="73"/>
  <c r="R35"/>
  <c r="Q14"/>
  <c r="Q35" s="1"/>
  <c r="AB18" i="77"/>
  <c r="AB34" s="1"/>
  <c r="T35"/>
  <c r="V35" s="1"/>
  <c r="D40" i="17"/>
  <c r="C40" s="1"/>
  <c r="C38"/>
  <c r="U35" i="74"/>
  <c r="V15"/>
  <c r="M38" i="17"/>
  <c r="M36"/>
  <c r="Y14"/>
  <c r="AC15"/>
  <c r="AC18" i="77"/>
  <c r="V31" i="17"/>
  <c r="Z31"/>
  <c r="Q31"/>
  <c r="Y31" s="1"/>
  <c r="AL72" i="72"/>
  <c r="AM71"/>
  <c r="S35" i="76"/>
  <c r="V35" s="1"/>
  <c r="AA14"/>
  <c r="AA34" s="1"/>
  <c r="Z34"/>
  <c r="S35" i="78"/>
  <c r="V14"/>
  <c r="S35" i="16"/>
  <c r="AA14"/>
  <c r="AA34" s="1"/>
  <c r="V14"/>
  <c r="V14" i="76"/>
  <c r="Q38"/>
  <c r="Q40"/>
  <c r="AC14" i="75"/>
  <c r="AC29" i="17"/>
  <c r="AC18"/>
  <c r="R17" i="78"/>
  <c r="I35"/>
  <c r="H35" s="1"/>
  <c r="Z34" i="77"/>
  <c r="Q38"/>
  <c r="Q40"/>
  <c r="R17" i="75"/>
  <c r="I35"/>
  <c r="H35" s="1"/>
  <c r="Q17" l="1"/>
  <c r="V17"/>
  <c r="R35"/>
  <c r="Z17"/>
  <c r="Z34" s="1"/>
  <c r="Q17" i="78"/>
  <c r="Q35" s="1"/>
  <c r="V17"/>
  <c r="R35"/>
  <c r="AA38" i="17"/>
  <c r="AA41"/>
  <c r="Y34" i="76"/>
  <c r="AC14"/>
  <c r="Q17" i="16"/>
  <c r="V17"/>
  <c r="R35"/>
  <c r="Z17"/>
  <c r="Z34" s="1"/>
  <c r="I36" i="17"/>
  <c r="H35"/>
  <c r="AC14" i="16"/>
  <c r="AC31" i="17"/>
  <c r="AC14"/>
  <c r="R40" i="73"/>
  <c r="V35"/>
  <c r="Q39"/>
  <c r="Y34" i="77"/>
  <c r="AC14"/>
  <c r="T35" i="16"/>
  <c r="AB17"/>
  <c r="AB34" s="1"/>
  <c r="AL66" i="72"/>
  <c r="AP66" s="1"/>
  <c r="AP45"/>
  <c r="AC16" i="75"/>
  <c r="T35"/>
  <c r="AB17"/>
  <c r="AB34" s="1"/>
  <c r="AC27" i="17"/>
  <c r="Q41" i="74"/>
  <c r="Q39"/>
  <c r="V35"/>
  <c r="Z19" i="17"/>
  <c r="Z34" s="1"/>
  <c r="Z38" s="1"/>
  <c r="V19"/>
  <c r="Q19"/>
  <c r="R35"/>
  <c r="S38" i="73"/>
  <c r="Y19" i="17" l="1"/>
  <c r="Q35"/>
  <c r="Q38" i="16"/>
  <c r="V35"/>
  <c r="Q40"/>
  <c r="Q35"/>
  <c r="Y17"/>
  <c r="Y38" i="76"/>
  <c r="AC34"/>
  <c r="Y36"/>
  <c r="Q40" i="17"/>
  <c r="R39"/>
  <c r="Q38"/>
  <c r="V35"/>
  <c r="Y37" i="77"/>
  <c r="Y39"/>
  <c r="AC34"/>
  <c r="Q38" i="78"/>
  <c r="V35"/>
  <c r="Q40"/>
  <c r="V35" i="75"/>
  <c r="Q40"/>
  <c r="Q38"/>
  <c r="Q35"/>
  <c r="Y17"/>
  <c r="AC17" l="1"/>
  <c r="Y34"/>
  <c r="AC17" i="16"/>
  <c r="Y34"/>
  <c r="AC19" i="17"/>
  <c r="Y34"/>
  <c r="Y41" l="1"/>
  <c r="Y44" s="1"/>
  <c r="Y38"/>
  <c r="AC34"/>
  <c r="Y37" i="16"/>
  <c r="AC34"/>
  <c r="Y39"/>
  <c r="Y37" i="75"/>
  <c r="AC34"/>
  <c r="Y39"/>
</calcChain>
</file>

<file path=xl/sharedStrings.xml><?xml version="1.0" encoding="utf-8"?>
<sst xmlns="http://schemas.openxmlformats.org/spreadsheetml/2006/main" count="1062" uniqueCount="397">
  <si>
    <t xml:space="preserve"> постачання</t>
  </si>
  <si>
    <t>грн./кг</t>
  </si>
  <si>
    <t>Ціна солі таблетованої</t>
  </si>
  <si>
    <t>Діючий тариф на реактивну електроенергію ПАТ "Київобленерго"</t>
  </si>
  <si>
    <t>грн./Гкал без ПДВ</t>
  </si>
  <si>
    <t>грн./Гкал з ПДВ</t>
  </si>
  <si>
    <t>Населення</t>
  </si>
  <si>
    <t xml:space="preserve">Тариф на теплову енергію </t>
  </si>
  <si>
    <t>виробництво теплової енергії</t>
  </si>
  <si>
    <t>транспортування теплової енергії</t>
  </si>
  <si>
    <t>постачання теплової енергії</t>
  </si>
  <si>
    <t>Інші споживачі</t>
  </si>
  <si>
    <t>Опалювальна площа населення, кв.м.</t>
  </si>
  <si>
    <t>Норма витрат теплоти на опалення 1 кв.м. в рік</t>
  </si>
  <si>
    <t>Норма витрат теплоти на опалення 1 кв.м. в місяць опалювального сезону</t>
  </si>
  <si>
    <t>Кот. №9</t>
  </si>
  <si>
    <t>Всього по кот. № 9</t>
  </si>
  <si>
    <t>Л.М. Бєлкіна</t>
  </si>
  <si>
    <t xml:space="preserve"> Провідний економіст                                          Кучеренко Т.В.</t>
  </si>
  <si>
    <t xml:space="preserve"> Тарифи на теплову енергію та послугу з централізованого опалення відшкодовують 94% вартості</t>
  </si>
  <si>
    <t xml:space="preserve">Тариф на послугу з постачання теплової енергії </t>
  </si>
  <si>
    <t xml:space="preserve"> Тарифи</t>
  </si>
  <si>
    <t>Факт  2019 рік</t>
  </si>
  <si>
    <t>КП "Фастівтепломережа" на 2020-2021 рік</t>
  </si>
  <si>
    <t>Інформація по котельним КП "Фастівтепломережа" в опалювальний період 2020-2021 р.р.</t>
  </si>
  <si>
    <t>робочі дні 2020 року</t>
  </si>
  <si>
    <t xml:space="preserve">                                      норма тривалості робочого часу 2020 рік</t>
  </si>
  <si>
    <t xml:space="preserve"> ціна  ТОВ "Євроенерготрейд", середня</t>
  </si>
  <si>
    <t xml:space="preserve"> Визначення середньої ціни електроенергії</t>
  </si>
  <si>
    <t xml:space="preserve"> що склалась по КП "Фастівтепломережа"  за шість місяців, що передують місяцю подання</t>
  </si>
  <si>
    <t xml:space="preserve"> розрахунків тарифів на плановий період</t>
  </si>
  <si>
    <t xml:space="preserve"> активна електроенергія</t>
  </si>
  <si>
    <t xml:space="preserve"> реактивна електроенергія</t>
  </si>
  <si>
    <t>сума</t>
  </si>
  <si>
    <t>кількість кВт-год</t>
  </si>
  <si>
    <t>ціна грн/ 1 кВт-год</t>
  </si>
  <si>
    <t>грудень 2019</t>
  </si>
  <si>
    <t>січень 2020</t>
  </si>
  <si>
    <t>лютий 2020</t>
  </si>
  <si>
    <t>березень 2020</t>
  </si>
  <si>
    <t>квітень2020</t>
  </si>
  <si>
    <t xml:space="preserve"> травень 2020</t>
  </si>
  <si>
    <t>середня ціна (середнє арифметичне значення)</t>
  </si>
  <si>
    <t xml:space="preserve"> В.о.директора                                                                 Єзан А.М.</t>
  </si>
  <si>
    <t xml:space="preserve"> Головний бухгалтер                                                   Остапенко Т.М.</t>
  </si>
  <si>
    <t>Ппровідний економіст                                                  Кучеренко Т.В.</t>
  </si>
  <si>
    <t xml:space="preserve"> Визначення середньої ціни природного газу</t>
  </si>
  <si>
    <t xml:space="preserve"> що склалась по КП "Фастівтепломережа" протягом опалювального періоду</t>
  </si>
  <si>
    <t xml:space="preserve"> що передує плановому періоду ( жовтень 2019-квітень 2020)</t>
  </si>
  <si>
    <t xml:space="preserve"> ( без урахування тарифів на послуги з транспортування та розподілу </t>
  </si>
  <si>
    <t xml:space="preserve"> природного газу)</t>
  </si>
  <si>
    <t>місяць</t>
  </si>
  <si>
    <t>нафтогаз спец обов</t>
  </si>
  <si>
    <t xml:space="preserve"> категорія споживачів населення</t>
  </si>
  <si>
    <t>куб.м. на вироб те</t>
  </si>
  <si>
    <t xml:space="preserve"> витрати на газ без пдв</t>
  </si>
  <si>
    <t xml:space="preserve"> сер зважена ціна загальна без пдв</t>
  </si>
  <si>
    <t xml:space="preserve"> сер зважена ціна Єнерготрейд без пдв</t>
  </si>
  <si>
    <t xml:space="preserve">  транспортування</t>
  </si>
  <si>
    <t xml:space="preserve"> розподіл</t>
  </si>
  <si>
    <t xml:space="preserve"> всього без ПДВ</t>
  </si>
  <si>
    <t xml:space="preserve"> всього з ПДВ</t>
  </si>
  <si>
    <t xml:space="preserve"> жовтень 2019</t>
  </si>
  <si>
    <t xml:space="preserve"> листопад 2019</t>
  </si>
  <si>
    <t xml:space="preserve"> грудень 2019</t>
  </si>
  <si>
    <t>всього</t>
  </si>
  <si>
    <t xml:space="preserve"> з пдв</t>
  </si>
  <si>
    <t xml:space="preserve"> січень 2020</t>
  </si>
  <si>
    <t xml:space="preserve"> лютий 2020</t>
  </si>
  <si>
    <t xml:space="preserve"> березень 2020</t>
  </si>
  <si>
    <t xml:space="preserve"> квітень 2020</t>
  </si>
  <si>
    <t xml:space="preserve"> тариф діючий</t>
  </si>
  <si>
    <t xml:space="preserve"> середня ціна постачання, грн/тис.куб.м.</t>
  </si>
  <si>
    <t xml:space="preserve"> бюджет та госпрозрахункові організації</t>
  </si>
  <si>
    <t xml:space="preserve"> насел</t>
  </si>
  <si>
    <t>бюджет</t>
  </si>
  <si>
    <t xml:space="preserve"> госпр</t>
  </si>
  <si>
    <t>1/12 споживання</t>
  </si>
  <si>
    <t xml:space="preserve"> ціна за 1 куб.м. без пдв</t>
  </si>
  <si>
    <t xml:space="preserve"> сумма в місяць грн без пдв</t>
  </si>
  <si>
    <t>жовтень 2018</t>
  </si>
  <si>
    <t xml:space="preserve"> листопад 2018</t>
  </si>
  <si>
    <t xml:space="preserve"> грудень 2018</t>
  </si>
  <si>
    <t xml:space="preserve"> січень 2019</t>
  </si>
  <si>
    <t xml:space="preserve"> лютий 2019</t>
  </si>
  <si>
    <t xml:space="preserve"> березень2019</t>
  </si>
  <si>
    <t>квітень2019</t>
  </si>
  <si>
    <t xml:space="preserve"> коефіцієнт розподілення</t>
  </si>
  <si>
    <t>Бюджетні установи, організації</t>
  </si>
  <si>
    <t>Тарифи на теплову енергію, послуги з постачання теплової енергії</t>
  </si>
  <si>
    <t xml:space="preserve"> Додаток 2</t>
  </si>
  <si>
    <t>СТАНОМ НА 01.02.2020 РОКУ</t>
  </si>
  <si>
    <t>Інженер                                                      _______________                                      Л.М. Бєлкіна</t>
  </si>
  <si>
    <t>КП "Фастівтепломережа" на 2020 рік</t>
  </si>
  <si>
    <t>Директор                                                   О.В. Костецький</t>
  </si>
  <si>
    <t>Вик. Бєлкіна Л.М.</t>
  </si>
  <si>
    <t>КП "Фастівтепломережа" на ЖОВТЕНЬ 2020 року</t>
  </si>
  <si>
    <t>КП "Фастівтепломережа" на ЛИСТОПАД 2020 року</t>
  </si>
  <si>
    <t>КП "Фастівтепломережа" на ГРУДЕНЬ 2020 року</t>
  </si>
  <si>
    <t>Індивідуальних планових норм витрат палива КП "Фастівтепломережа" на 2020 рік</t>
  </si>
  <si>
    <t xml:space="preserve"> з альтерн</t>
  </si>
  <si>
    <t>Кориговані тарифи на послугу з постачання теплової енергії для населення</t>
  </si>
  <si>
    <t>В.о. директора                                                      Єзан А.М.</t>
  </si>
  <si>
    <t>В.о. директора                                                              Єзан А.М.</t>
  </si>
  <si>
    <t xml:space="preserve"> відпуск</t>
  </si>
  <si>
    <t>Назва об’єкта</t>
  </si>
  <si>
    <t>Приєднане теплове навантаження, Гкал/год</t>
  </si>
  <si>
    <t>Загальне приєднане теплове навантаження по котельні, Гкал/год</t>
  </si>
  <si>
    <t>МР ГУ МВС</t>
  </si>
  <si>
    <t>Будинок народної творчості</t>
  </si>
  <si>
    <t>СЮТ</t>
  </si>
  <si>
    <t>ДНЗ №6 "Казка"</t>
  </si>
  <si>
    <t>Адмінприміщення</t>
  </si>
  <si>
    <t>ДНЗ №8 "Джерельце"</t>
  </si>
  <si>
    <t>ДЮСШ "Локомотив"</t>
  </si>
  <si>
    <t>КЗ "Фастівський центр ПМСД"</t>
  </si>
  <si>
    <t>Краєзнавчий музей</t>
  </si>
  <si>
    <t xml:space="preserve">І група (населення) всього  </t>
  </si>
  <si>
    <t>в т.ч. без лічильників</t>
  </si>
  <si>
    <t>в т.ч. з лічильниками</t>
  </si>
  <si>
    <t>Методичний кабінет</t>
  </si>
  <si>
    <t>Школа народної майстерності</t>
  </si>
  <si>
    <t>ЗОШ №10</t>
  </si>
  <si>
    <t>Ж/б вул. Соборна, 20</t>
  </si>
  <si>
    <t>Ж/б вул. Строкова, 2</t>
  </si>
  <si>
    <t>Ж/б вул. Строкова, 3</t>
  </si>
  <si>
    <t>Місквиконком</t>
  </si>
  <si>
    <t>Райдержадміністрація</t>
  </si>
  <si>
    <t>Райрада</t>
  </si>
  <si>
    <t>ЗОШ №5</t>
  </si>
  <si>
    <t xml:space="preserve">ДНЗ №7 "Журавлик" </t>
  </si>
  <si>
    <t>Музична школа</t>
  </si>
  <si>
    <t>Палац культури</t>
  </si>
  <si>
    <t>СК "Машинобудівник"</t>
  </si>
  <si>
    <t>Головне управління статистики</t>
  </si>
  <si>
    <t>Центр зайнятості</t>
  </si>
  <si>
    <t>Прокуратура</t>
  </si>
  <si>
    <t>Пошта</t>
  </si>
  <si>
    <t>Телеком</t>
  </si>
  <si>
    <t>Всього по кот. №18</t>
  </si>
  <si>
    <t>Ж/б вул. Г. Прикордонників, 2</t>
  </si>
  <si>
    <t>ЗОШ №9</t>
  </si>
  <si>
    <t>ДНЗ №9 "Берізка"</t>
  </si>
  <si>
    <t>ДНЗ №11 "Дзвіночок"</t>
  </si>
  <si>
    <t xml:space="preserve">ДЮСШ </t>
  </si>
  <si>
    <t>Судадміністрація</t>
  </si>
  <si>
    <t>Дистанція сигналізації та зв’язку</t>
  </si>
  <si>
    <t>ДТ МТЗ "Залізничпостач"</t>
  </si>
  <si>
    <t>Всього по кот. №19</t>
  </si>
  <si>
    <t>ЗОШ №3</t>
  </si>
  <si>
    <t>ЗОШ №2</t>
  </si>
  <si>
    <t>ДНЗ №10 "Малятко"</t>
  </si>
  <si>
    <t>ДНЗ №5 "Сонечко"</t>
  </si>
  <si>
    <t>ДНЗ №12 "Віночок"</t>
  </si>
  <si>
    <t>ЗОШ №12</t>
  </si>
  <si>
    <t>ЗОШ №1</t>
  </si>
  <si>
    <t>ДНЗ №1 "Теремок"</t>
  </si>
  <si>
    <t>ДНЗ №4 "Зірочка"</t>
  </si>
  <si>
    <t>ДНЗ №2 "Ромашка"</t>
  </si>
  <si>
    <t>Військкомат</t>
  </si>
  <si>
    <t>ДНЗ №3 "Унава"</t>
  </si>
  <si>
    <t>ВСЬОГО ПО ПІДПРИЄМСТВУ</t>
  </si>
  <si>
    <t>Кот. №10, вул. Шестопала</t>
  </si>
  <si>
    <t>МН-120еко</t>
  </si>
  <si>
    <t>пров. В. Шестопала, 2</t>
  </si>
  <si>
    <t>Головний інженер                                   А.М. Бондарчук</t>
  </si>
  <si>
    <t>Пров. інженер                                         Л.М. Бєлкіна</t>
  </si>
  <si>
    <t>КП "Фастівтепломережа" на СІЧЕНЬ 2020 року</t>
  </si>
  <si>
    <t>Кот. №10, пров. Шестопала, 2</t>
  </si>
  <si>
    <t>Кот. №22, вул. С. Васильченка, 21</t>
  </si>
  <si>
    <t>КП "Фастівтепломережа" на ЛЮТИЙ 2020 року</t>
  </si>
  <si>
    <t>КП "Фастівтепломережа" на БЕРЕЗЕНЬ 2020 року</t>
  </si>
  <si>
    <t>КП "Фастівтепломережа" на КВІТЕНЬ 2020 року</t>
  </si>
  <si>
    <t xml:space="preserve">РІЧНИЙ ПЛАН ОБСЯГУ РЕАЛІЗАЦІЇ, ВТРАТ ТЕ, ВИТРАТ НА ВЛАСНІ ПОТРЕБИ ТА ВИРОБНИЦТВА </t>
  </si>
  <si>
    <t>Кот. №10</t>
  </si>
  <si>
    <t>ПРИЄДНАНІ МАКСИМАЛЬНІ ПОГОДИННІ ТЕПЛОВІ НАВАНТАЖЕННЯ (ПООБ’ЄКТНО) ПО ГРУПАМ СПОЖИВАЧІВ</t>
  </si>
  <si>
    <t>Додаток ___</t>
  </si>
  <si>
    <t xml:space="preserve">ІІ група (бюджетні установи) всього  </t>
  </si>
  <si>
    <t xml:space="preserve">ІІІ група (інші споживачі) всього  </t>
  </si>
  <si>
    <t>№ п/п</t>
  </si>
  <si>
    <t>вул. Г. Танкістів, 3а</t>
  </si>
  <si>
    <t>вул. С. Палія, 9б</t>
  </si>
  <si>
    <t>вул.Л. Толстого, 8а</t>
  </si>
  <si>
    <t>вул. Соборна, 19</t>
  </si>
  <si>
    <t>вул. Якубовського, 12</t>
  </si>
  <si>
    <t>пров. Шевченка, 2а</t>
  </si>
  <si>
    <t>вул. Г. Прикордонників, 1а</t>
  </si>
  <si>
    <t>грн./0,9 л</t>
  </si>
  <si>
    <t>грн./шт</t>
  </si>
  <si>
    <t xml:space="preserve">Кот. №2, вул. Миру, 12 </t>
  </si>
  <si>
    <t xml:space="preserve">Кот. №6, вул. Брандта, 65  </t>
  </si>
  <si>
    <t>вул. Великоснітинська, 24</t>
  </si>
  <si>
    <t>вул. Мічуріна, 24</t>
  </si>
  <si>
    <t>вул. Л. Толстого, 9</t>
  </si>
  <si>
    <t>вул. Л. Толстого, 20</t>
  </si>
  <si>
    <t>Теплове</t>
  </si>
  <si>
    <t>Протяжність</t>
  </si>
  <si>
    <t>Кількість котлів</t>
  </si>
  <si>
    <t>Потужність Гкал/год</t>
  </si>
  <si>
    <t>навантаження</t>
  </si>
  <si>
    <t>теплових</t>
  </si>
  <si>
    <t>Гкал/год</t>
  </si>
  <si>
    <t>мереж в</t>
  </si>
  <si>
    <t>у т. ч.</t>
  </si>
  <si>
    <t>двотрубному</t>
  </si>
  <si>
    <t>Всього</t>
  </si>
  <si>
    <t>законсер-</t>
  </si>
  <si>
    <t>встанов-</t>
  </si>
  <si>
    <t>діюча</t>
  </si>
  <si>
    <t>приєднане</t>
  </si>
  <si>
    <t>вимірі</t>
  </si>
  <si>
    <t>в роботі</t>
  </si>
  <si>
    <t>в резерві</t>
  </si>
  <si>
    <t>вовані</t>
  </si>
  <si>
    <t>лена</t>
  </si>
  <si>
    <t>км</t>
  </si>
  <si>
    <t>Кот. №1, вул. Осипенка, 6</t>
  </si>
  <si>
    <t>Кот. №3, вул. Г. Танкістів, 3а</t>
  </si>
  <si>
    <t>Кот. №4, вул. С. Палія, 9</t>
  </si>
  <si>
    <t>ТВГ-8М</t>
  </si>
  <si>
    <t>1</t>
  </si>
  <si>
    <t>Кот. №11, вул. Л. Толстого, 8а</t>
  </si>
  <si>
    <t>Кот. №13, вул. Соборна, 19</t>
  </si>
  <si>
    <t>Кот. №15, вул. Якубовського, 12</t>
  </si>
  <si>
    <t>Кот. №18, пров. Шевченка,2а</t>
  </si>
  <si>
    <t>Кот. №19, вул. Г. Прикордонників, 1а</t>
  </si>
  <si>
    <t>Кот. №27, вул. Великоснітинська, 24</t>
  </si>
  <si>
    <t>Кот. №28, вул. Мічуріна, 24</t>
  </si>
  <si>
    <t>Кот. №30, вул. Л. Толстого, 9</t>
  </si>
  <si>
    <t>Кот. №32, вул. Л. Толстого, 20</t>
  </si>
  <si>
    <t>Кот. №33, вул. Фомічова, 88</t>
  </si>
  <si>
    <t>Головний інженер</t>
  </si>
  <si>
    <t>Додаток____</t>
  </si>
  <si>
    <t>Адреса котельні</t>
  </si>
  <si>
    <t>№ котельні</t>
  </si>
  <si>
    <t>№ та Адреса котельні</t>
  </si>
  <si>
    <t xml:space="preserve">Вхідні дані </t>
  </si>
  <si>
    <t xml:space="preserve">Показники </t>
  </si>
  <si>
    <t>Одиниці
виміру</t>
  </si>
  <si>
    <t>Вартісні дані (без ПДВ)</t>
  </si>
  <si>
    <t>Ціна  природного газу для населення всього, в т.ч.:</t>
  </si>
  <si>
    <t>грн./тис.куб.м.</t>
  </si>
  <si>
    <t>Ціна природного газу для бюджетних установ</t>
  </si>
  <si>
    <t>Ціна природного газу для інших споживачів всього, в т.ч.:</t>
  </si>
  <si>
    <t>Тариф на послуги водопостачання та водовідведення</t>
  </si>
  <si>
    <t>грн/куб.м</t>
  </si>
  <si>
    <t xml:space="preserve">Тариф на послуги водопостачання </t>
  </si>
  <si>
    <t xml:space="preserve">Тариф на послуги водовідведення </t>
  </si>
  <si>
    <t>%</t>
  </si>
  <si>
    <t>грн./кВт/г</t>
  </si>
  <si>
    <t>грн./кВар</t>
  </si>
  <si>
    <t>Співідношення реактивної та активної електроенергії</t>
  </si>
  <si>
    <t>кВар/кВат</t>
  </si>
  <si>
    <t>Ціна мила господарського</t>
  </si>
  <si>
    <t>Ціна молока</t>
  </si>
  <si>
    <t>Ціна солі</t>
  </si>
  <si>
    <t xml:space="preserve">Опалення </t>
  </si>
  <si>
    <t>КТМ 204</t>
  </si>
  <si>
    <t>Тривалість опалювального періоду</t>
  </si>
  <si>
    <t>діб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</si>
  <si>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</si>
  <si>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</si>
  <si>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</si>
  <si>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</si>
  <si>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</si>
  <si>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</si>
  <si>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</si>
  <si>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міс.</t>
  </si>
  <si>
    <t>Температура усереднена розрахункова внутрішнього повітря</t>
  </si>
  <si>
    <t>гр.С</t>
  </si>
  <si>
    <t>Температура розрахункова зовнішнього повітря для проектування опалення</t>
  </si>
  <si>
    <t>Температура середня зовнішнього повітря за опалювальний період</t>
  </si>
  <si>
    <t>Кількість годин роботи системи опалення на добу</t>
  </si>
  <si>
    <t>год.</t>
  </si>
  <si>
    <t>Інші дані</t>
  </si>
  <si>
    <t xml:space="preserve">Кількість робочих днів </t>
  </si>
  <si>
    <t>Кількість робочих годин</t>
  </si>
  <si>
    <t>Розмір єдиного соціального внеску</t>
  </si>
  <si>
    <t>ЗУ «Про збір та облік єдиного внеску на загальнообов'язкове державне соціальне страхування»</t>
  </si>
  <si>
    <t>Розмір єдиного соціального внеску для інвалідв</t>
  </si>
  <si>
    <t>Факт за 5 років</t>
  </si>
  <si>
    <t>ДСТУ Будівельна кліматологія</t>
  </si>
  <si>
    <t>Коефіцієнт, що використовується, для розрахунку теплоти на опалення, всього в рік, у т.ч.:</t>
  </si>
  <si>
    <t>РОЗРАХУНОК РІЧНОЇ ПОТРЕБИ В ТЕПЛОВІЙ ЕНЕРГІЇ НА ОПАЛЕННЯ</t>
  </si>
  <si>
    <t>І група (населення)</t>
  </si>
  <si>
    <t>ІІ група (бюджетні установи)</t>
  </si>
  <si>
    <t>ІІІ група (інші споживачі)</t>
  </si>
  <si>
    <t>Тривалість опалювального періоду, діб</t>
  </si>
  <si>
    <t>Середня температура завнішнього повітря, гр.С</t>
  </si>
  <si>
    <t>рік</t>
  </si>
  <si>
    <t>Тривалість роботи ситеми опалення за добу</t>
  </si>
  <si>
    <t>годин</t>
  </si>
  <si>
    <t>Внутрішня температура</t>
  </si>
  <si>
    <t>Розрахункова температура для проектування опалення</t>
  </si>
  <si>
    <t>Потреба в теплоті на опалення</t>
  </si>
  <si>
    <t>Гкал</t>
  </si>
  <si>
    <t>Коефціієнт дл</t>
  </si>
  <si>
    <t xml:space="preserve">                                                                                                 до рішення виконавчого комітету</t>
  </si>
  <si>
    <t xml:space="preserve">                                                                                                Фастівської міської ради</t>
  </si>
  <si>
    <t xml:space="preserve">                                                                                                №___________від____________</t>
  </si>
  <si>
    <t xml:space="preserve"> Керуючий справами                                                            Л.О.Тхоржевська</t>
  </si>
  <si>
    <t xml:space="preserve">В.о.директора                                                                       А.М.Єзан </t>
  </si>
  <si>
    <t>опалення власного приміщення</t>
  </si>
  <si>
    <t>Всього, у т.ч.:</t>
  </si>
  <si>
    <t>Втрати ТЕ в мережі, Гкал</t>
  </si>
  <si>
    <t>Витрати теплоти на власні потреби, Гкал (2,2% від виробництва)</t>
  </si>
  <si>
    <t>Обсяг виробництва ТЕ, Гкал</t>
  </si>
  <si>
    <t>Обсяг реалізації ТЕ всього, у т.ч.:</t>
  </si>
  <si>
    <t>Тарифи на послуги КП "Фастівводоканал"</t>
  </si>
  <si>
    <t>Діючий тариф на активну електроенергію ПАТ "Київобленерго"</t>
  </si>
  <si>
    <t>Обсяг відпуску ТЕ з власних джерел всього, у т.ч.:</t>
  </si>
  <si>
    <t xml:space="preserve">РОЗРАХУНОК ОБСЯГУ ВТРАТ ТЕ, ВИТРАТ НА ВЛАСНІ ПОТРЕБИ ТА ВИРОБНИЦТВА </t>
  </si>
  <si>
    <t xml:space="preserve">(кількість днів роботи системи опалення </t>
  </si>
  <si>
    <t>)</t>
  </si>
  <si>
    <t>(кількість годин роботи системи опалення за добу</t>
  </si>
  <si>
    <t>Протяжність теплових мереж в двотрубному вимірі, м</t>
  </si>
  <si>
    <t xml:space="preserve"> % втрат ТЕ в мережах по КТМ 204</t>
  </si>
  <si>
    <t>Марка котла</t>
  </si>
  <si>
    <t>К-сть котлів</t>
  </si>
  <si>
    <t>Роки експлуатації</t>
  </si>
  <si>
    <r>
      <t>К</t>
    </r>
    <r>
      <rPr>
        <b/>
        <vertAlign val="subscript"/>
        <sz val="12"/>
        <rFont val="Arial Cyr"/>
        <charset val="204"/>
      </rPr>
      <t>1</t>
    </r>
  </si>
  <si>
    <r>
      <t>К</t>
    </r>
    <r>
      <rPr>
        <b/>
        <vertAlign val="subscript"/>
        <sz val="12"/>
        <rFont val="Arial Cyr"/>
        <charset val="204"/>
      </rPr>
      <t>2</t>
    </r>
  </si>
  <si>
    <r>
      <t>К</t>
    </r>
    <r>
      <rPr>
        <b/>
        <u val="singleAccounting"/>
        <vertAlign val="subscript"/>
        <sz val="12"/>
        <rFont val="Arial Cyr"/>
        <charset val="204"/>
      </rPr>
      <t>3</t>
    </r>
  </si>
  <si>
    <r>
      <t>К</t>
    </r>
    <r>
      <rPr>
        <b/>
        <vertAlign val="subscript"/>
        <sz val="12"/>
        <rFont val="Arial Cyr"/>
        <charset val="204"/>
      </rPr>
      <t>3</t>
    </r>
  </si>
  <si>
    <t>К</t>
  </si>
  <si>
    <r>
      <t>в</t>
    </r>
    <r>
      <rPr>
        <b/>
        <vertAlign val="subscript"/>
        <sz val="12"/>
        <rFont val="Arial Cyr"/>
        <charset val="204"/>
      </rPr>
      <t xml:space="preserve">к                                                                                                                                                                         </t>
    </r>
  </si>
  <si>
    <t xml:space="preserve">кг.у.п./Гкал </t>
  </si>
  <si>
    <t xml:space="preserve"> м3/Гкал</t>
  </si>
  <si>
    <t xml:space="preserve">Кот. №3 </t>
  </si>
  <si>
    <t>МН-100</t>
  </si>
  <si>
    <t>МН-120 "Бернард"</t>
  </si>
  <si>
    <t>"Геліос-80Е/100Е"</t>
  </si>
  <si>
    <t>НИИСТУ-5</t>
  </si>
  <si>
    <t xml:space="preserve">Кот. №2 </t>
  </si>
  <si>
    <t>МН-80</t>
  </si>
  <si>
    <t xml:space="preserve">Кот. №25 </t>
  </si>
  <si>
    <t xml:space="preserve">Кот. №5 </t>
  </si>
  <si>
    <t xml:space="preserve">"Богдан"-35 </t>
  </si>
  <si>
    <t>Кот. № 30</t>
  </si>
  <si>
    <t>Кот. №1</t>
  </si>
  <si>
    <t>Кот. № 32</t>
  </si>
  <si>
    <t>Кот. № 33</t>
  </si>
  <si>
    <t>"Богдан"-55</t>
  </si>
  <si>
    <t>Кот. №6</t>
  </si>
  <si>
    <t>А.М. Бондарчук</t>
  </si>
  <si>
    <t>Котельня</t>
  </si>
  <si>
    <t>Паспортна питома витрата палива, кг. у.п.</t>
  </si>
  <si>
    <t>Кот. №4</t>
  </si>
  <si>
    <t>Кот. №15</t>
  </si>
  <si>
    <t>Кот. №22</t>
  </si>
  <si>
    <t>Кот. №27</t>
  </si>
  <si>
    <t>Кот. №28</t>
  </si>
  <si>
    <t>Кот. №29</t>
  </si>
  <si>
    <t>Кот. №18</t>
  </si>
  <si>
    <t>Кот. №19</t>
  </si>
  <si>
    <t xml:space="preserve">РОЗРАХУНОК </t>
  </si>
  <si>
    <t>6</t>
  </si>
  <si>
    <t>КСВ-2.0</t>
  </si>
  <si>
    <t>В.о.директора                                                     Єзан А.М.</t>
  </si>
  <si>
    <t>Кот. №5, вул. Ярослава Мудрого,39а</t>
  </si>
  <si>
    <t>Кот. №9, вул. А. Саєнка, 2а</t>
  </si>
  <si>
    <t>Кот. №22, вул. Васильченка, 21</t>
  </si>
  <si>
    <t>Кот. №25, вул. Ярослава Мудрого, 44а</t>
  </si>
  <si>
    <t>Кот.№29, вул. О. Зінченка, 4</t>
  </si>
  <si>
    <t>вул. Осипенка, 6</t>
  </si>
  <si>
    <t>вул. Миру, 12</t>
  </si>
  <si>
    <t>вул. Ярослава Мудрого, 39а</t>
  </si>
  <si>
    <t>вул. Брандта, 65</t>
  </si>
  <si>
    <t>вул. А. Саєнка, 2а</t>
  </si>
  <si>
    <t>Ж/б вул. І. Ступака, 13</t>
  </si>
  <si>
    <t>Ж/б вул. І. Ступака, 15</t>
  </si>
  <si>
    <t>Ж/б вул . І. Ступака, 6</t>
  </si>
  <si>
    <t>вул. С. Васильченка, 21</t>
  </si>
  <si>
    <t>вул. Ярослава Мудрого, 42а</t>
  </si>
  <si>
    <t>Мати і дитина разом</t>
  </si>
  <si>
    <t>вул. О. Зінченка, 4</t>
  </si>
  <si>
    <t>вул. Фомічова, 88</t>
  </si>
  <si>
    <t>к і туризм</t>
  </si>
  <si>
    <t>спорт</t>
  </si>
  <si>
    <t>з кот.4</t>
  </si>
  <si>
    <t>з кот. 4</t>
  </si>
  <si>
    <t>Пров.  інженер</t>
  </si>
  <si>
    <t xml:space="preserve"> </t>
  </si>
  <si>
    <t>Дані для розрахунку показників на  рік</t>
  </si>
  <si>
    <t>ціна газу</t>
  </si>
  <si>
    <t xml:space="preserve"> транспортування магістральними трубопроводами</t>
  </si>
  <si>
    <t>транспортування розподільними мережами</t>
  </si>
  <si>
    <t>грн./кв.м. з ПДВ в місяць протягом року</t>
  </si>
  <si>
    <t>Норма витрат теплоти на опалення 1 кв.м. в місяць протягом року</t>
  </si>
  <si>
    <t xml:space="preserve"> Головний інженер                                                        Бондарчук А.М.</t>
  </si>
  <si>
    <t xml:space="preserve"> Провідний інженер                                                      Бєлкіна Л.М.</t>
  </si>
  <si>
    <t xml:space="preserve">   Головний інженер                                               Бондарчук А.М.</t>
  </si>
  <si>
    <r>
      <t xml:space="preserve"> </t>
    </r>
    <r>
      <rPr>
        <sz val="12"/>
        <rFont val="Arial Cyr"/>
        <charset val="204"/>
      </rPr>
      <t xml:space="preserve"> Головний бухгалтер                                             Остапенко Т.М.</t>
    </r>
  </si>
  <si>
    <r>
      <t xml:space="preserve">  </t>
    </r>
    <r>
      <rPr>
        <sz val="12"/>
        <rFont val="Arial Cyr"/>
        <charset val="204"/>
      </rPr>
      <t>Провідний економіст                                          Кучеренко Т.В.</t>
    </r>
  </si>
  <si>
    <t>грн./кв.м. без ПДВ в місяць опалювального сезону</t>
  </si>
  <si>
    <t>грн./кв.м з ПДВ в місяць опалювального сезону</t>
  </si>
  <si>
    <t>"Богдан"-50</t>
  </si>
</sst>
</file>

<file path=xl/styles.xml><?xml version="1.0" encoding="utf-8"?>
<styleSheet xmlns="http://schemas.openxmlformats.org/spreadsheetml/2006/main">
  <numFmts count="9">
    <numFmt numFmtId="164" formatCode="0.000"/>
    <numFmt numFmtId="165" formatCode="0.0000"/>
    <numFmt numFmtId="166" formatCode="0.00000"/>
    <numFmt numFmtId="167" formatCode="0.0"/>
    <numFmt numFmtId="168" formatCode="_-* #,##0.00\ _г_р_н_._-;\-* #,##0.00\ _г_р_н_._-;_-* \-??\ _г_р_н_._-;_-@_-"/>
    <numFmt numFmtId="169" formatCode="_(* #,##0.00_);_(* \(#,##0.00\);_(* \-??_);_(@_)"/>
    <numFmt numFmtId="170" formatCode="0.0000%"/>
    <numFmt numFmtId="171" formatCode="0.000000"/>
    <numFmt numFmtId="172" formatCode="0.0000000"/>
  </numFmts>
  <fonts count="4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E"/>
      <family val="2"/>
      <charset val="238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vertAlign val="subscript"/>
      <sz val="12"/>
      <name val="Arial Cyr"/>
      <charset val="204"/>
    </font>
    <font>
      <b/>
      <u val="singleAccounting"/>
      <sz val="12"/>
      <name val="Arial Cyr"/>
      <charset val="204"/>
    </font>
    <font>
      <b/>
      <u val="singleAccounting"/>
      <vertAlign val="subscript"/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Arial Cyr"/>
      <charset val="204"/>
    </font>
    <font>
      <sz val="14"/>
      <name val="Arial"/>
      <family val="2"/>
      <charset val="204"/>
    </font>
    <font>
      <b/>
      <sz val="12"/>
      <name val="Bookman Old Style"/>
      <family val="1"/>
      <charset val="204"/>
    </font>
    <font>
      <sz val="13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Helv"/>
      <charset val="204"/>
    </font>
    <font>
      <b/>
      <sz val="14"/>
      <color indexed="10"/>
      <name val="Arial Cyr"/>
      <charset val="204"/>
    </font>
    <font>
      <b/>
      <sz val="14"/>
      <color indexed="14"/>
      <name val="Arial Cyr"/>
      <charset val="204"/>
    </font>
    <font>
      <b/>
      <sz val="14"/>
      <color indexed="17"/>
      <name val="Arial Cyr"/>
      <charset val="204"/>
    </font>
    <font>
      <b/>
      <sz val="10"/>
      <name val="Helv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168" fontId="13" fillId="0" borderId="0" applyFill="0" applyBorder="0" applyAlignment="0" applyProtection="0"/>
    <xf numFmtId="0" fontId="10" fillId="0" borderId="0"/>
    <xf numFmtId="0" fontId="9" fillId="0" borderId="0"/>
    <xf numFmtId="0" fontId="13" fillId="0" borderId="0"/>
    <xf numFmtId="0" fontId="20" fillId="0" borderId="0">
      <alignment horizontal="centerContinuous"/>
    </xf>
    <xf numFmtId="9" fontId="13" fillId="0" borderId="0" applyFill="0" applyBorder="0" applyAlignment="0" applyProtection="0"/>
    <xf numFmtId="0" fontId="13" fillId="0" borderId="0"/>
    <xf numFmtId="0" fontId="10" fillId="0" borderId="0"/>
    <xf numFmtId="0" fontId="21" fillId="0" borderId="0"/>
    <xf numFmtId="0" fontId="43" fillId="0" borderId="0"/>
    <xf numFmtId="0" fontId="21" fillId="0" borderId="0"/>
    <xf numFmtId="9" fontId="9" fillId="0" borderId="0" applyFont="0" applyFill="0" applyBorder="0" applyAlignment="0" applyProtection="0"/>
    <xf numFmtId="169" fontId="13" fillId="0" borderId="0" applyFill="0" applyBorder="0" applyAlignment="0" applyProtection="0"/>
    <xf numFmtId="168" fontId="13" fillId="0" borderId="0" applyFill="0" applyBorder="0" applyAlignment="0" applyProtection="0"/>
  </cellStyleXfs>
  <cellXfs count="590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4" fillId="2" borderId="2" xfId="0" applyFont="1" applyFill="1" applyBorder="1"/>
    <xf numFmtId="165" fontId="5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2" fontId="4" fillId="0" borderId="0" xfId="0" applyNumberFormat="1" applyFont="1"/>
    <xf numFmtId="164" fontId="4" fillId="0" borderId="0" xfId="0" applyNumberFormat="1" applyFont="1"/>
    <xf numFmtId="0" fontId="14" fillId="0" borderId="7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5" fillId="0" borderId="9" xfId="0" applyFont="1" applyFill="1" applyBorder="1"/>
    <xf numFmtId="9" fontId="16" fillId="0" borderId="0" xfId="12" applyFont="1" applyFill="1" applyAlignment="1">
      <alignment horizontal="left"/>
    </xf>
    <xf numFmtId="1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3" fillId="0" borderId="0" xfId="0" applyFont="1" applyFill="1"/>
    <xf numFmtId="0" fontId="15" fillId="0" borderId="0" xfId="0" applyFont="1" applyFill="1"/>
    <xf numFmtId="0" fontId="0" fillId="0" borderId="0" xfId="0" applyFill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0" fontId="4" fillId="0" borderId="0" xfId="0" applyNumberFormat="1" applyFont="1"/>
    <xf numFmtId="2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0" fontId="5" fillId="0" borderId="0" xfId="0" applyNumberFormat="1" applyFont="1"/>
    <xf numFmtId="10" fontId="6" fillId="0" borderId="0" xfId="0" applyNumberFormat="1" applyFont="1"/>
    <xf numFmtId="164" fontId="5" fillId="0" borderId="6" xfId="0" applyNumberFormat="1" applyFont="1" applyBorder="1" applyAlignment="1">
      <alignment horizontal="center"/>
    </xf>
    <xf numFmtId="0" fontId="26" fillId="0" borderId="0" xfId="0" applyFont="1" applyAlignment="1"/>
    <xf numFmtId="0" fontId="26" fillId="0" borderId="0" xfId="0" applyFont="1"/>
    <xf numFmtId="0" fontId="26" fillId="0" borderId="0" xfId="0" applyFont="1" applyAlignment="1">
      <alignment horizontal="center"/>
    </xf>
    <xf numFmtId="0" fontId="22" fillId="0" borderId="0" xfId="0" applyFont="1" applyFill="1" applyAlignment="1"/>
    <xf numFmtId="0" fontId="4" fillId="0" borderId="0" xfId="0" applyFont="1" applyFill="1"/>
    <xf numFmtId="0" fontId="4" fillId="2" borderId="6" xfId="0" applyFont="1" applyFill="1" applyBorder="1" applyAlignment="1">
      <alignment horizontal="center"/>
    </xf>
    <xf numFmtId="165" fontId="22" fillId="0" borderId="0" xfId="0" applyNumberFormat="1" applyFont="1" applyFill="1" applyAlignment="1"/>
    <xf numFmtId="0" fontId="31" fillId="0" borderId="0" xfId="0" applyFont="1"/>
    <xf numFmtId="0" fontId="29" fillId="0" borderId="0" xfId="0" applyFont="1"/>
    <xf numFmtId="0" fontId="4" fillId="2" borderId="6" xfId="0" applyFont="1" applyFill="1" applyBorder="1"/>
    <xf numFmtId="0" fontId="0" fillId="0" borderId="1" xfId="0" applyBorder="1"/>
    <xf numFmtId="0" fontId="0" fillId="0" borderId="15" xfId="0" applyBorder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2" xfId="0" applyBorder="1"/>
    <xf numFmtId="2" fontId="3" fillId="2" borderId="1" xfId="0" applyNumberFormat="1" applyFont="1" applyFill="1" applyBorder="1"/>
    <xf numFmtId="2" fontId="3" fillId="2" borderId="16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164" fontId="0" fillId="0" borderId="17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2" fontId="8" fillId="0" borderId="19" xfId="0" applyNumberFormat="1" applyFont="1" applyBorder="1" applyAlignment="1">
      <alignment horizontal="center"/>
    </xf>
    <xf numFmtId="2" fontId="8" fillId="0" borderId="20" xfId="0" applyNumberFormat="1" applyFont="1" applyBorder="1" applyAlignment="1">
      <alignment horizontal="center"/>
    </xf>
    <xf numFmtId="2" fontId="8" fillId="0" borderId="20" xfId="0" applyNumberFormat="1" applyFont="1" applyBorder="1" applyAlignment="1">
      <alignment horizontal="left" wrapText="1"/>
    </xf>
    <xf numFmtId="2" fontId="6" fillId="0" borderId="21" xfId="0" applyNumberFormat="1" applyFont="1" applyFill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1" fillId="0" borderId="0" xfId="0" applyFont="1"/>
    <xf numFmtId="165" fontId="1" fillId="0" borderId="0" xfId="0" applyNumberFormat="1" applyFont="1"/>
    <xf numFmtId="164" fontId="4" fillId="3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21" xfId="0" applyFont="1" applyBorder="1"/>
    <xf numFmtId="0" fontId="27" fillId="0" borderId="21" xfId="0" applyFont="1" applyBorder="1" applyAlignment="1">
      <alignment wrapText="1"/>
    </xf>
    <xf numFmtId="0" fontId="1" fillId="0" borderId="0" xfId="0" applyFont="1" applyAlignment="1">
      <alignment horizontal="left"/>
    </xf>
    <xf numFmtId="0" fontId="19" fillId="0" borderId="0" xfId="0" applyFont="1" applyFill="1" applyBorder="1" applyAlignment="1">
      <alignment horizontal="left" indent="1"/>
    </xf>
    <xf numFmtId="0" fontId="32" fillId="0" borderId="0" xfId="0" applyFont="1"/>
    <xf numFmtId="2" fontId="32" fillId="0" borderId="0" xfId="0" applyNumberFormat="1" applyFont="1"/>
    <xf numFmtId="0" fontId="12" fillId="0" borderId="0" xfId="0" applyFont="1" applyFill="1"/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left" wrapText="1" indent="1"/>
    </xf>
    <xf numFmtId="0" fontId="14" fillId="0" borderId="10" xfId="0" applyFont="1" applyFill="1" applyBorder="1" applyAlignment="1">
      <alignment horizontal="center"/>
    </xf>
    <xf numFmtId="2" fontId="14" fillId="0" borderId="11" xfId="0" applyNumberFormat="1" applyFont="1" applyFill="1" applyBorder="1" applyAlignment="1">
      <alignment horizontal="center"/>
    </xf>
    <xf numFmtId="0" fontId="15" fillId="0" borderId="0" xfId="0" applyFont="1" applyFill="1"/>
    <xf numFmtId="0" fontId="16" fillId="0" borderId="0" xfId="0" applyFont="1" applyFill="1"/>
    <xf numFmtId="0" fontId="15" fillId="0" borderId="22" xfId="0" applyFont="1" applyFill="1" applyBorder="1" applyAlignment="1">
      <alignment horizontal="left" wrapText="1" indent="2"/>
    </xf>
    <xf numFmtId="0" fontId="15" fillId="0" borderId="10" xfId="0" applyFont="1" applyFill="1" applyBorder="1" applyAlignment="1">
      <alignment horizontal="center"/>
    </xf>
    <xf numFmtId="9" fontId="13" fillId="0" borderId="0" xfId="0" applyNumberFormat="1" applyFont="1" applyFill="1"/>
    <xf numFmtId="2" fontId="16" fillId="0" borderId="0" xfId="0" applyNumberFormat="1" applyFont="1" applyFill="1"/>
    <xf numFmtId="9" fontId="16" fillId="0" borderId="0" xfId="0" applyNumberFormat="1" applyFont="1" applyFill="1"/>
    <xf numFmtId="2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5" fillId="0" borderId="22" xfId="0" applyFont="1" applyFill="1" applyBorder="1" applyAlignment="1">
      <alignment horizontal="left" wrapText="1" indent="3"/>
    </xf>
    <xf numFmtId="0" fontId="9" fillId="0" borderId="0" xfId="0" applyFont="1" applyFill="1" applyAlignment="1">
      <alignment horizontal="left"/>
    </xf>
    <xf numFmtId="0" fontId="16" fillId="0" borderId="0" xfId="0" applyFont="1" applyFill="1" applyBorder="1"/>
    <xf numFmtId="9" fontId="15" fillId="0" borderId="10" xfId="12" applyFont="1" applyFill="1" applyBorder="1" applyAlignment="1">
      <alignment horizontal="center"/>
    </xf>
    <xf numFmtId="9" fontId="15" fillId="0" borderId="11" xfId="12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/>
    <xf numFmtId="0" fontId="5" fillId="0" borderId="9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left" indent="1"/>
    </xf>
    <xf numFmtId="0" fontId="4" fillId="0" borderId="22" xfId="4" applyFont="1" applyFill="1" applyBorder="1" applyAlignment="1">
      <alignment horizontal="left" indent="3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left" indent="1"/>
    </xf>
    <xf numFmtId="0" fontId="4" fillId="0" borderId="22" xfId="0" applyFont="1" applyFill="1" applyBorder="1" applyAlignment="1">
      <alignment horizontal="left" wrapText="1" indent="1"/>
    </xf>
    <xf numFmtId="0" fontId="5" fillId="0" borderId="22" xfId="0" applyFont="1" applyFill="1" applyBorder="1" applyAlignment="1">
      <alignment horizontal="left" wrapText="1" indent="1"/>
    </xf>
    <xf numFmtId="0" fontId="5" fillId="0" borderId="10" xfId="0" applyFont="1" applyFill="1" applyBorder="1" applyAlignment="1">
      <alignment horizontal="center"/>
    </xf>
    <xf numFmtId="167" fontId="5" fillId="0" borderId="11" xfId="0" applyNumberFormat="1" applyFont="1" applyFill="1" applyBorder="1" applyAlignment="1">
      <alignment horizontal="center"/>
    </xf>
    <xf numFmtId="167" fontId="5" fillId="0" borderId="10" xfId="0" applyNumberFormat="1" applyFont="1" applyFill="1" applyBorder="1" applyAlignment="1">
      <alignment horizontal="center"/>
    </xf>
    <xf numFmtId="0" fontId="6" fillId="0" borderId="0" xfId="0" applyFont="1" applyFill="1"/>
    <xf numFmtId="167" fontId="4" fillId="0" borderId="11" xfId="0" applyNumberFormat="1" applyFont="1" applyFill="1" applyBorder="1" applyAlignment="1">
      <alignment horizontal="center"/>
    </xf>
    <xf numFmtId="167" fontId="4" fillId="0" borderId="10" xfId="0" applyNumberFormat="1" applyFont="1" applyFill="1" applyBorder="1" applyAlignment="1">
      <alignment horizontal="center"/>
    </xf>
    <xf numFmtId="0" fontId="4" fillId="0" borderId="23" xfId="4" applyFont="1" applyFill="1" applyBorder="1" applyAlignment="1">
      <alignment horizontal="left" indent="3"/>
    </xf>
    <xf numFmtId="0" fontId="4" fillId="0" borderId="24" xfId="0" applyFont="1" applyFill="1" applyBorder="1" applyAlignment="1">
      <alignment horizontal="center"/>
    </xf>
    <xf numFmtId="167" fontId="4" fillId="0" borderId="25" xfId="0" applyNumberFormat="1" applyFont="1" applyFill="1" applyBorder="1" applyAlignment="1">
      <alignment horizontal="center"/>
    </xf>
    <xf numFmtId="167" fontId="4" fillId="0" borderId="2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left" wrapText="1" indent="1"/>
    </xf>
    <xf numFmtId="0" fontId="5" fillId="0" borderId="8" xfId="0" applyFont="1" applyFill="1" applyBorder="1" applyAlignment="1">
      <alignment horizontal="center"/>
    </xf>
    <xf numFmtId="2" fontId="6" fillId="0" borderId="0" xfId="0" applyNumberFormat="1" applyFont="1" applyFill="1"/>
    <xf numFmtId="0" fontId="4" fillId="0" borderId="26" xfId="4" applyFont="1" applyFill="1" applyBorder="1" applyAlignment="1">
      <alignment horizontal="left" indent="3"/>
    </xf>
    <xf numFmtId="0" fontId="4" fillId="0" borderId="20" xfId="0" applyFont="1" applyFill="1" applyBorder="1" applyAlignment="1">
      <alignment horizontal="center"/>
    </xf>
    <xf numFmtId="0" fontId="4" fillId="0" borderId="27" xfId="4" applyFont="1" applyFill="1" applyBorder="1" applyAlignment="1">
      <alignment horizontal="left" indent="3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 wrapText="1" indent="1"/>
    </xf>
    <xf numFmtId="0" fontId="18" fillId="0" borderId="22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9" fillId="0" borderId="17" xfId="0" applyNumberFormat="1" applyFont="1" applyFill="1" applyBorder="1" applyAlignment="1">
      <alignment horizontal="center"/>
    </xf>
    <xf numFmtId="0" fontId="19" fillId="0" borderId="22" xfId="0" applyFont="1" applyFill="1" applyBorder="1" applyAlignment="1">
      <alignment horizontal="left" indent="1"/>
    </xf>
    <xf numFmtId="0" fontId="19" fillId="0" borderId="26" xfId="0" applyFont="1" applyFill="1" applyBorder="1" applyAlignment="1">
      <alignment horizontal="left" indent="1"/>
    </xf>
    <xf numFmtId="0" fontId="19" fillId="0" borderId="20" xfId="0" applyFont="1" applyFill="1" applyBorder="1" applyAlignment="1">
      <alignment horizontal="center"/>
    </xf>
    <xf numFmtId="0" fontId="19" fillId="0" borderId="0" xfId="0" applyFont="1" applyFill="1"/>
    <xf numFmtId="0" fontId="13" fillId="0" borderId="0" xfId="0" applyFont="1" applyFill="1" applyAlignment="1"/>
    <xf numFmtId="2" fontId="1" fillId="0" borderId="0" xfId="0" applyNumberFormat="1" applyFont="1"/>
    <xf numFmtId="166" fontId="16" fillId="0" borderId="0" xfId="0" applyNumberFormat="1" applyFont="1" applyFill="1"/>
    <xf numFmtId="166" fontId="16" fillId="0" borderId="0" xfId="0" applyNumberFormat="1" applyFont="1" applyFill="1" applyBorder="1" applyAlignment="1">
      <alignment horizontal="left"/>
    </xf>
    <xf numFmtId="0" fontId="37" fillId="0" borderId="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0" fontId="37" fillId="0" borderId="28" xfId="0" applyFont="1" applyBorder="1"/>
    <xf numFmtId="2" fontId="37" fillId="0" borderId="0" xfId="0" applyNumberFormat="1" applyFont="1" applyAlignment="1">
      <alignment horizontal="center"/>
    </xf>
    <xf numFmtId="2" fontId="37" fillId="0" borderId="0" xfId="0" applyNumberFormat="1" applyFont="1"/>
    <xf numFmtId="164" fontId="37" fillId="0" borderId="0" xfId="0" applyNumberFormat="1" applyFont="1"/>
    <xf numFmtId="10" fontId="37" fillId="0" borderId="0" xfId="0" applyNumberFormat="1" applyFont="1"/>
    <xf numFmtId="0" fontId="1" fillId="0" borderId="0" xfId="0" applyFont="1" applyFill="1"/>
    <xf numFmtId="167" fontId="1" fillId="0" borderId="0" xfId="0" applyNumberFormat="1" applyFont="1" applyFill="1" applyBorder="1" applyAlignment="1">
      <alignment horizontal="center"/>
    </xf>
    <xf numFmtId="0" fontId="37" fillId="0" borderId="0" xfId="0" applyFont="1" applyBorder="1"/>
    <xf numFmtId="0" fontId="37" fillId="0" borderId="21" xfId="0" applyFont="1" applyBorder="1"/>
    <xf numFmtId="0" fontId="37" fillId="0" borderId="28" xfId="0" applyFont="1" applyBorder="1" applyAlignment="1">
      <alignment horizontal="center"/>
    </xf>
    <xf numFmtId="2" fontId="30" fillId="0" borderId="12" xfId="0" applyNumberFormat="1" applyFont="1" applyBorder="1"/>
    <xf numFmtId="2" fontId="4" fillId="0" borderId="10" xfId="0" applyNumberFormat="1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0" fontId="15" fillId="0" borderId="29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165" fontId="15" fillId="0" borderId="11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164" fontId="15" fillId="0" borderId="30" xfId="0" applyNumberFormat="1" applyFont="1" applyFill="1" applyBorder="1" applyAlignment="1">
      <alignment horizontal="center"/>
    </xf>
    <xf numFmtId="0" fontId="27" fillId="0" borderId="21" xfId="0" applyFont="1" applyFill="1" applyBorder="1"/>
    <xf numFmtId="0" fontId="37" fillId="0" borderId="21" xfId="0" applyFont="1" applyFill="1" applyBorder="1"/>
    <xf numFmtId="165" fontId="4" fillId="2" borderId="6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4" fillId="0" borderId="1" xfId="0" applyFont="1" applyBorder="1"/>
    <xf numFmtId="165" fontId="4" fillId="0" borderId="4" xfId="0" applyNumberFormat="1" applyFont="1" applyBorder="1" applyAlignment="1">
      <alignment horizontal="center"/>
    </xf>
    <xf numFmtId="164" fontId="5" fillId="0" borderId="0" xfId="0" applyNumberFormat="1" applyFont="1"/>
    <xf numFmtId="165" fontId="5" fillId="4" borderId="1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2" fontId="15" fillId="2" borderId="11" xfId="0" applyNumberFormat="1" applyFont="1" applyFill="1" applyBorder="1" applyAlignment="1">
      <alignment horizontal="center"/>
    </xf>
    <xf numFmtId="0" fontId="15" fillId="2" borderId="0" xfId="0" applyFont="1" applyFill="1"/>
    <xf numFmtId="0" fontId="4" fillId="2" borderId="15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26" fillId="0" borderId="0" xfId="0" applyFont="1" applyAlignment="1">
      <alignment horizontal="left"/>
    </xf>
    <xf numFmtId="166" fontId="15" fillId="5" borderId="11" xfId="0" applyNumberFormat="1" applyFont="1" applyFill="1" applyBorder="1" applyAlignment="1">
      <alignment horizontal="center"/>
    </xf>
    <xf numFmtId="2" fontId="15" fillId="5" borderId="11" xfId="0" applyNumberFormat="1" applyFont="1" applyFill="1" applyBorder="1" applyAlignment="1">
      <alignment horizontal="center"/>
    </xf>
    <xf numFmtId="2" fontId="14" fillId="5" borderId="11" xfId="0" applyNumberFormat="1" applyFont="1" applyFill="1" applyBorder="1" applyAlignment="1">
      <alignment horizontal="center"/>
    </xf>
    <xf numFmtId="171" fontId="15" fillId="5" borderId="11" xfId="0" applyNumberFormat="1" applyFont="1" applyFill="1" applyBorder="1" applyAlignment="1">
      <alignment horizontal="center"/>
    </xf>
    <xf numFmtId="10" fontId="17" fillId="5" borderId="11" xfId="0" applyNumberFormat="1" applyFont="1" applyFill="1" applyBorder="1" applyAlignment="1">
      <alignment horizontal="center"/>
    </xf>
    <xf numFmtId="0" fontId="15" fillId="5" borderId="0" xfId="0" applyFont="1" applyFill="1"/>
    <xf numFmtId="0" fontId="37" fillId="0" borderId="17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4" fillId="0" borderId="31" xfId="0" applyFont="1" applyBorder="1"/>
    <xf numFmtId="0" fontId="4" fillId="0" borderId="10" xfId="0" applyFont="1" applyBorder="1"/>
    <xf numFmtId="0" fontId="5" fillId="0" borderId="31" xfId="0" applyFont="1" applyBorder="1" applyAlignment="1">
      <alignment horizontal="center"/>
    </xf>
    <xf numFmtId="0" fontId="37" fillId="0" borderId="3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165" fontId="5" fillId="0" borderId="3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0" fontId="4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37" fillId="2" borderId="10" xfId="0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7" fillId="2" borderId="0" xfId="0" applyFont="1" applyFill="1"/>
    <xf numFmtId="0" fontId="4" fillId="0" borderId="31" xfId="0" applyFont="1" applyBorder="1" applyAlignment="1">
      <alignment wrapText="1"/>
    </xf>
    <xf numFmtId="0" fontId="4" fillId="2" borderId="10" xfId="0" applyFont="1" applyFill="1" applyBorder="1" applyAlignment="1">
      <alignment wrapText="1"/>
    </xf>
    <xf numFmtId="165" fontId="37" fillId="2" borderId="10" xfId="0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37" fillId="2" borderId="1" xfId="0" applyFont="1" applyFill="1" applyBorder="1" applyAlignment="1">
      <alignment wrapText="1"/>
    </xf>
    <xf numFmtId="164" fontId="4" fillId="2" borderId="10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11" fillId="2" borderId="10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37" fillId="2" borderId="10" xfId="0" applyFont="1" applyFill="1" applyBorder="1"/>
    <xf numFmtId="0" fontId="6" fillId="2" borderId="10" xfId="0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0" fontId="37" fillId="2" borderId="1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wrapText="1"/>
    </xf>
    <xf numFmtId="165" fontId="11" fillId="2" borderId="8" xfId="0" applyNumberFormat="1" applyFont="1" applyFill="1" applyBorder="1" applyAlignment="1">
      <alignment horizontal="center"/>
    </xf>
    <xf numFmtId="165" fontId="4" fillId="2" borderId="8" xfId="0" applyNumberFormat="1" applyFont="1" applyFill="1" applyBorder="1" applyAlignment="1">
      <alignment horizontal="center"/>
    </xf>
    <xf numFmtId="165" fontId="7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4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5" fontId="37" fillId="0" borderId="10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164" fontId="37" fillId="0" borderId="31" xfId="0" applyNumberFormat="1" applyFont="1" applyBorder="1" applyAlignment="1">
      <alignment horizontal="center"/>
    </xf>
    <xf numFmtId="164" fontId="6" fillId="2" borderId="31" xfId="0" applyNumberFormat="1" applyFont="1" applyFill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4" fillId="0" borderId="20" xfId="0" applyFont="1" applyBorder="1"/>
    <xf numFmtId="0" fontId="6" fillId="0" borderId="20" xfId="0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165" fontId="38" fillId="2" borderId="1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37" fillId="0" borderId="0" xfId="0" applyNumberFormat="1" applyFont="1"/>
    <xf numFmtId="165" fontId="8" fillId="0" borderId="0" xfId="0" applyNumberFormat="1" applyFont="1" applyBorder="1" applyAlignment="1">
      <alignment horizontal="center"/>
    </xf>
    <xf numFmtId="0" fontId="37" fillId="0" borderId="0" xfId="0" applyFont="1" applyAlignment="1">
      <alignment wrapText="1"/>
    </xf>
    <xf numFmtId="2" fontId="6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37" fillId="0" borderId="32" xfId="0" applyFont="1" applyBorder="1" applyAlignment="1">
      <alignment horizontal="center"/>
    </xf>
    <xf numFmtId="2" fontId="37" fillId="0" borderId="1" xfId="0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165" fontId="35" fillId="0" borderId="1" xfId="0" applyNumberFormat="1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1" fontId="35" fillId="0" borderId="16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165" fontId="4" fillId="3" borderId="15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2" fontId="35" fillId="0" borderId="16" xfId="0" applyNumberFormat="1" applyFont="1" applyBorder="1" applyAlignment="1">
      <alignment horizontal="center" vertical="center" wrapText="1"/>
    </xf>
    <xf numFmtId="2" fontId="35" fillId="0" borderId="12" xfId="0" applyNumberFormat="1" applyFont="1" applyBorder="1" applyAlignment="1">
      <alignment horizontal="center" vertical="center" wrapText="1"/>
    </xf>
    <xf numFmtId="2" fontId="35" fillId="0" borderId="29" xfId="0" applyNumberFormat="1" applyFont="1" applyBorder="1" applyAlignment="1">
      <alignment horizontal="center" wrapText="1"/>
    </xf>
    <xf numFmtId="2" fontId="35" fillId="0" borderId="0" xfId="0" applyNumberFormat="1" applyFont="1" applyBorder="1" applyAlignment="1">
      <alignment horizontal="center" wrapText="1"/>
    </xf>
    <xf numFmtId="2" fontId="37" fillId="0" borderId="0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0" fontId="37" fillId="0" borderId="27" xfId="0" applyFont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/>
    </xf>
    <xf numFmtId="2" fontId="37" fillId="0" borderId="16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2" fontId="36" fillId="3" borderId="1" xfId="0" applyNumberFormat="1" applyFont="1" applyFill="1" applyBorder="1" applyAlignment="1">
      <alignment horizontal="center" vertical="center" wrapText="1"/>
    </xf>
    <xf numFmtId="2" fontId="35" fillId="3" borderId="1" xfId="0" applyNumberFormat="1" applyFont="1" applyFill="1" applyBorder="1" applyAlignment="1">
      <alignment horizontal="center" vertical="center" wrapText="1"/>
    </xf>
    <xf numFmtId="0" fontId="37" fillId="3" borderId="31" xfId="0" applyFont="1" applyFill="1" applyBorder="1" applyAlignment="1">
      <alignment horizontal="center"/>
    </xf>
    <xf numFmtId="164" fontId="37" fillId="3" borderId="31" xfId="0" applyNumberFormat="1" applyFont="1" applyFill="1" applyBorder="1" applyAlignment="1">
      <alignment horizontal="center"/>
    </xf>
    <xf numFmtId="164" fontId="6" fillId="3" borderId="31" xfId="0" applyNumberFormat="1" applyFont="1" applyFill="1" applyBorder="1" applyAlignment="1">
      <alignment horizontal="center"/>
    </xf>
    <xf numFmtId="164" fontId="1" fillId="3" borderId="31" xfId="0" applyNumberFormat="1" applyFont="1" applyFill="1" applyBorder="1" applyAlignment="1">
      <alignment horizontal="center"/>
    </xf>
    <xf numFmtId="0" fontId="37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164" fontId="37" fillId="3" borderId="31" xfId="0" applyNumberFormat="1" applyFont="1" applyFill="1" applyBorder="1" applyAlignment="1">
      <alignment horizontal="center"/>
    </xf>
    <xf numFmtId="164" fontId="1" fillId="3" borderId="31" xfId="0" applyNumberFormat="1" applyFont="1" applyFill="1" applyBorder="1" applyAlignment="1">
      <alignment horizontal="center"/>
    </xf>
    <xf numFmtId="0" fontId="37" fillId="3" borderId="10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5" fontId="4" fillId="2" borderId="7" xfId="0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0" fontId="37" fillId="3" borderId="33" xfId="0" applyFont="1" applyFill="1" applyBorder="1" applyAlignment="1">
      <alignment horizontal="center"/>
    </xf>
    <xf numFmtId="164" fontId="37" fillId="3" borderId="6" xfId="0" applyNumberFormat="1" applyFont="1" applyFill="1" applyBorder="1" applyAlignment="1">
      <alignment horizontal="center"/>
    </xf>
    <xf numFmtId="164" fontId="37" fillId="3" borderId="34" xfId="0" applyNumberFormat="1" applyFont="1" applyFill="1" applyBorder="1" applyAlignment="1">
      <alignment horizontal="center"/>
    </xf>
    <xf numFmtId="164" fontId="37" fillId="3" borderId="35" xfId="0" applyNumberFormat="1" applyFont="1" applyFill="1" applyBorder="1" applyAlignment="1">
      <alignment horizontal="center"/>
    </xf>
    <xf numFmtId="164" fontId="37" fillId="3" borderId="21" xfId="0" applyNumberFormat="1" applyFont="1" applyFill="1" applyBorder="1" applyAlignment="1">
      <alignment horizontal="center"/>
    </xf>
    <xf numFmtId="164" fontId="6" fillId="3" borderId="21" xfId="0" applyNumberFormat="1" applyFont="1" applyFill="1" applyBorder="1" applyAlignment="1">
      <alignment horizontal="center"/>
    </xf>
    <xf numFmtId="0" fontId="37" fillId="3" borderId="36" xfId="0" applyFont="1" applyFill="1" applyBorder="1" applyAlignment="1">
      <alignment horizontal="center"/>
    </xf>
    <xf numFmtId="164" fontId="37" fillId="3" borderId="37" xfId="0" applyNumberFormat="1" applyFont="1" applyFill="1" applyBorder="1" applyAlignment="1">
      <alignment horizontal="center"/>
    </xf>
    <xf numFmtId="164" fontId="37" fillId="3" borderId="30" xfId="0" applyNumberFormat="1" applyFont="1" applyFill="1" applyBorder="1" applyAlignment="1">
      <alignment horizontal="center"/>
    </xf>
    <xf numFmtId="0" fontId="37" fillId="3" borderId="22" xfId="0" applyFont="1" applyFill="1" applyBorder="1" applyAlignment="1">
      <alignment horizontal="center"/>
    </xf>
    <xf numFmtId="164" fontId="1" fillId="3" borderId="37" xfId="0" applyNumberFormat="1" applyFont="1" applyFill="1" applyBorder="1" applyAlignment="1">
      <alignment horizontal="center"/>
    </xf>
    <xf numFmtId="0" fontId="37" fillId="3" borderId="23" xfId="0" applyFont="1" applyFill="1" applyBorder="1" applyAlignment="1">
      <alignment horizontal="center"/>
    </xf>
    <xf numFmtId="164" fontId="37" fillId="3" borderId="2" xfId="0" applyNumberFormat="1" applyFont="1" applyFill="1" applyBorder="1" applyAlignment="1">
      <alignment horizontal="center"/>
    </xf>
    <xf numFmtId="164" fontId="37" fillId="3" borderId="0" xfId="0" applyNumberFormat="1" applyFont="1" applyFill="1" applyBorder="1" applyAlignment="1">
      <alignment horizontal="center"/>
    </xf>
    <xf numFmtId="164" fontId="37" fillId="3" borderId="17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164" fontId="37" fillId="3" borderId="15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37" fillId="3" borderId="1" xfId="0" applyFont="1" applyFill="1" applyBorder="1" applyAlignment="1">
      <alignment wrapText="1"/>
    </xf>
    <xf numFmtId="165" fontId="38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164" fontId="39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40" fillId="3" borderId="1" xfId="0" applyNumberFormat="1" applyFont="1" applyFill="1" applyBorder="1" applyAlignment="1">
      <alignment horizontal="center"/>
    </xf>
    <xf numFmtId="0" fontId="4" fillId="3" borderId="0" xfId="0" applyFont="1" applyFill="1"/>
    <xf numFmtId="0" fontId="37" fillId="3" borderId="0" xfId="0" applyFont="1" applyFill="1" applyAlignment="1">
      <alignment wrapText="1"/>
    </xf>
    <xf numFmtId="165" fontId="6" fillId="3" borderId="0" xfId="0" applyNumberFormat="1" applyFont="1" applyFill="1" applyAlignment="1">
      <alignment horizontal="center"/>
    </xf>
    <xf numFmtId="165" fontId="37" fillId="3" borderId="0" xfId="0" applyNumberFormat="1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2" fontId="37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0" fontId="33" fillId="3" borderId="0" xfId="0" applyFont="1" applyFill="1" applyAlignment="1">
      <alignment wrapText="1"/>
    </xf>
    <xf numFmtId="165" fontId="28" fillId="3" borderId="0" xfId="0" applyNumberFormat="1" applyFont="1" applyFill="1" applyAlignment="1">
      <alignment horizontal="center"/>
    </xf>
    <xf numFmtId="165" fontId="33" fillId="3" borderId="0" xfId="0" applyNumberFormat="1" applyFont="1" applyFill="1" applyAlignment="1">
      <alignment horizontal="center"/>
    </xf>
    <xf numFmtId="165" fontId="34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37" fillId="3" borderId="0" xfId="0" applyNumberFormat="1" applyFont="1" applyFill="1" applyAlignment="1">
      <alignment horizontal="center"/>
    </xf>
    <xf numFmtId="0" fontId="5" fillId="0" borderId="0" xfId="0" applyFont="1" applyAlignment="1">
      <alignment wrapText="1"/>
    </xf>
    <xf numFmtId="170" fontId="6" fillId="0" borderId="0" xfId="0" applyNumberFormat="1" applyFont="1" applyAlignment="1">
      <alignment horizontal="center"/>
    </xf>
    <xf numFmtId="170" fontId="3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2" fontId="6" fillId="0" borderId="0" xfId="0" applyNumberFormat="1" applyFont="1"/>
    <xf numFmtId="164" fontId="6" fillId="0" borderId="0" xfId="0" applyNumberFormat="1" applyFont="1"/>
    <xf numFmtId="0" fontId="23" fillId="2" borderId="38" xfId="0" applyFont="1" applyFill="1" applyBorder="1" applyAlignment="1">
      <alignment horizontal="center" wrapText="1"/>
    </xf>
    <xf numFmtId="2" fontId="23" fillId="2" borderId="39" xfId="0" applyNumberFormat="1" applyFont="1" applyFill="1" applyBorder="1" applyAlignment="1">
      <alignment horizontal="center" wrapText="1"/>
    </xf>
    <xf numFmtId="0" fontId="1" fillId="0" borderId="40" xfId="0" applyFont="1" applyBorder="1"/>
    <xf numFmtId="0" fontId="1" fillId="0" borderId="21" xfId="0" applyFont="1" applyBorder="1" applyAlignment="1"/>
    <xf numFmtId="0" fontId="1" fillId="0" borderId="21" xfId="0" applyFont="1" applyFill="1" applyBorder="1" applyAlignment="1">
      <alignment horizontal="left"/>
    </xf>
    <xf numFmtId="0" fontId="1" fillId="0" borderId="21" xfId="0" applyFont="1" applyBorder="1" applyAlignment="1">
      <alignment horizontal="center"/>
    </xf>
    <xf numFmtId="167" fontId="1" fillId="0" borderId="21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7" fontId="1" fillId="0" borderId="21" xfId="0" applyNumberFormat="1" applyFont="1" applyFill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center"/>
    </xf>
    <xf numFmtId="171" fontId="1" fillId="0" borderId="21" xfId="0" applyNumberFormat="1" applyFont="1" applyFill="1" applyBorder="1" applyAlignment="1">
      <alignment horizontal="center"/>
    </xf>
    <xf numFmtId="2" fontId="6" fillId="0" borderId="41" xfId="0" applyNumberFormat="1" applyFont="1" applyBorder="1" applyAlignment="1">
      <alignment horizontal="center"/>
    </xf>
    <xf numFmtId="0" fontId="1" fillId="0" borderId="40" xfId="0" applyFont="1" applyFill="1" applyBorder="1"/>
    <xf numFmtId="0" fontId="1" fillId="0" borderId="21" xfId="0" applyFont="1" applyFill="1" applyBorder="1"/>
    <xf numFmtId="0" fontId="1" fillId="0" borderId="21" xfId="0" applyFont="1" applyBorder="1" applyAlignment="1">
      <alignment horizontal="left"/>
    </xf>
    <xf numFmtId="0" fontId="1" fillId="0" borderId="21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21" xfId="0" applyFont="1" applyFill="1" applyBorder="1"/>
    <xf numFmtId="2" fontId="1" fillId="0" borderId="21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1" xfId="0" applyFont="1" applyBorder="1"/>
    <xf numFmtId="0" fontId="0" fillId="0" borderId="21" xfId="0" applyFont="1" applyBorder="1" applyAlignment="1">
      <alignment horizontal="left"/>
    </xf>
    <xf numFmtId="0" fontId="1" fillId="0" borderId="42" xfId="0" applyFont="1" applyBorder="1"/>
    <xf numFmtId="0" fontId="1" fillId="0" borderId="43" xfId="0" applyFont="1" applyBorder="1"/>
    <xf numFmtId="0" fontId="1" fillId="0" borderId="43" xfId="0" applyFont="1" applyBorder="1" applyAlignment="1">
      <alignment horizontal="left"/>
    </xf>
    <xf numFmtId="0" fontId="1" fillId="0" borderId="43" xfId="0" applyFont="1" applyBorder="1" applyAlignment="1">
      <alignment horizontal="center"/>
    </xf>
    <xf numFmtId="167" fontId="1" fillId="0" borderId="43" xfId="0" applyNumberFormat="1" applyFont="1" applyBorder="1" applyAlignment="1">
      <alignment horizontal="center"/>
    </xf>
    <xf numFmtId="164" fontId="1" fillId="0" borderId="43" xfId="0" applyNumberFormat="1" applyFont="1" applyBorder="1" applyAlignment="1">
      <alignment horizontal="center"/>
    </xf>
    <xf numFmtId="167" fontId="1" fillId="0" borderId="43" xfId="0" applyNumberFormat="1" applyFont="1" applyFill="1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171" fontId="1" fillId="0" borderId="43" xfId="0" applyNumberFormat="1" applyFont="1" applyFill="1" applyBorder="1" applyAlignment="1">
      <alignment horizontal="center"/>
    </xf>
    <xf numFmtId="2" fontId="6" fillId="0" borderId="43" xfId="0" applyNumberFormat="1" applyFont="1" applyFill="1" applyBorder="1" applyAlignment="1">
      <alignment horizontal="center"/>
    </xf>
    <xf numFmtId="2" fontId="6" fillId="0" borderId="4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71" fontId="1" fillId="0" borderId="0" xfId="0" applyNumberFormat="1" applyFont="1" applyFill="1" applyBorder="1" applyAlignment="1">
      <alignment horizontal="center"/>
    </xf>
    <xf numFmtId="165" fontId="26" fillId="0" borderId="0" xfId="0" applyNumberFormat="1" applyFont="1"/>
    <xf numFmtId="2" fontId="1" fillId="0" borderId="0" xfId="0" applyNumberFormat="1" applyFont="1" applyBorder="1"/>
    <xf numFmtId="164" fontId="5" fillId="5" borderId="1" xfId="0" applyNumberFormat="1" applyFont="1" applyFill="1" applyBorder="1" applyAlignment="1">
      <alignment horizontal="center"/>
    </xf>
    <xf numFmtId="1" fontId="37" fillId="0" borderId="21" xfId="0" applyNumberFormat="1" applyFont="1" applyBorder="1"/>
    <xf numFmtId="0" fontId="27" fillId="0" borderId="0" xfId="0" applyFont="1" applyFill="1" applyBorder="1"/>
    <xf numFmtId="0" fontId="37" fillId="0" borderId="21" xfId="0" applyFont="1" applyBorder="1" applyAlignment="1">
      <alignment wrapText="1"/>
    </xf>
    <xf numFmtId="2" fontId="37" fillId="0" borderId="21" xfId="0" applyNumberFormat="1" applyFont="1" applyBorder="1"/>
    <xf numFmtId="171" fontId="37" fillId="0" borderId="21" xfId="0" applyNumberFormat="1" applyFont="1" applyBorder="1"/>
    <xf numFmtId="165" fontId="27" fillId="0" borderId="21" xfId="0" applyNumberFormat="1" applyFont="1" applyBorder="1"/>
    <xf numFmtId="172" fontId="27" fillId="6" borderId="21" xfId="0" applyNumberFormat="1" applyFont="1" applyFill="1" applyBorder="1"/>
    <xf numFmtId="0" fontId="41" fillId="0" borderId="21" xfId="0" applyFont="1" applyBorder="1"/>
    <xf numFmtId="0" fontId="37" fillId="0" borderId="45" xfId="0" applyFont="1" applyBorder="1" applyAlignment="1">
      <alignment wrapText="1"/>
    </xf>
    <xf numFmtId="0" fontId="27" fillId="0" borderId="45" xfId="0" applyFont="1" applyBorder="1" applyAlignment="1">
      <alignment wrapText="1"/>
    </xf>
    <xf numFmtId="0" fontId="37" fillId="0" borderId="33" xfId="0" applyFont="1" applyBorder="1"/>
    <xf numFmtId="2" fontId="37" fillId="0" borderId="33" xfId="0" applyNumberFormat="1" applyFont="1" applyBorder="1"/>
    <xf numFmtId="0" fontId="27" fillId="0" borderId="21" xfId="0" applyFont="1" applyBorder="1"/>
    <xf numFmtId="0" fontId="27" fillId="0" borderId="0" xfId="0" applyFont="1"/>
    <xf numFmtId="2" fontId="37" fillId="0" borderId="21" xfId="0" applyNumberFormat="1" applyFont="1" applyFill="1" applyBorder="1"/>
    <xf numFmtId="1" fontId="27" fillId="0" borderId="21" xfId="0" applyNumberFormat="1" applyFont="1" applyBorder="1"/>
    <xf numFmtId="2" fontId="27" fillId="0" borderId="21" xfId="0" applyNumberFormat="1" applyFont="1" applyBorder="1"/>
    <xf numFmtId="0" fontId="37" fillId="2" borderId="21" xfId="0" applyFont="1" applyFill="1" applyBorder="1"/>
    <xf numFmtId="0" fontId="27" fillId="2" borderId="21" xfId="0" applyFont="1" applyFill="1" applyBorder="1"/>
    <xf numFmtId="2" fontId="37" fillId="2" borderId="21" xfId="0" applyNumberFormat="1" applyFont="1" applyFill="1" applyBorder="1"/>
    <xf numFmtId="1" fontId="41" fillId="7" borderId="21" xfId="0" applyNumberFormat="1" applyFont="1" applyFill="1" applyBorder="1"/>
    <xf numFmtId="49" fontId="37" fillId="0" borderId="21" xfId="0" applyNumberFormat="1" applyFont="1" applyBorder="1" applyAlignment="1">
      <alignment wrapText="1"/>
    </xf>
    <xf numFmtId="0" fontId="37" fillId="0" borderId="21" xfId="0" applyFont="1" applyFill="1" applyBorder="1" applyAlignment="1">
      <alignment wrapText="1"/>
    </xf>
    <xf numFmtId="10" fontId="19" fillId="5" borderId="11" xfId="12" applyNumberFormat="1" applyFont="1" applyFill="1" applyBorder="1" applyAlignment="1">
      <alignment horizontal="center"/>
    </xf>
    <xf numFmtId="10" fontId="19" fillId="5" borderId="46" xfId="12" applyNumberFormat="1" applyFont="1" applyFill="1" applyBorder="1" applyAlignment="1">
      <alignment horizontal="center"/>
    </xf>
    <xf numFmtId="0" fontId="4" fillId="8" borderId="6" xfId="0" applyFont="1" applyFill="1" applyBorder="1"/>
    <xf numFmtId="164" fontId="5" fillId="8" borderId="4" xfId="0" applyNumberFormat="1" applyFont="1" applyFill="1" applyBorder="1" applyAlignment="1">
      <alignment horizontal="center"/>
    </xf>
    <xf numFmtId="164" fontId="4" fillId="8" borderId="4" xfId="0" applyNumberFormat="1" applyFont="1" applyFill="1" applyBorder="1" applyAlignment="1">
      <alignment horizontal="center"/>
    </xf>
    <xf numFmtId="164" fontId="4" fillId="8" borderId="6" xfId="0" applyNumberFormat="1" applyFont="1" applyFill="1" applyBorder="1" applyAlignment="1">
      <alignment horizontal="center"/>
    </xf>
    <xf numFmtId="165" fontId="4" fillId="8" borderId="6" xfId="0" applyNumberFormat="1" applyFont="1" applyFill="1" applyBorder="1" applyAlignment="1">
      <alignment horizontal="center"/>
    </xf>
    <xf numFmtId="164" fontId="5" fillId="8" borderId="6" xfId="0" applyNumberFormat="1" applyFont="1" applyFill="1" applyBorder="1" applyAlignment="1">
      <alignment horizontal="center"/>
    </xf>
    <xf numFmtId="164" fontId="5" fillId="8" borderId="2" xfId="0" applyNumberFormat="1" applyFont="1" applyFill="1" applyBorder="1" applyAlignment="1">
      <alignment horizontal="center"/>
    </xf>
    <xf numFmtId="164" fontId="4" fillId="8" borderId="5" xfId="0" applyNumberFormat="1" applyFont="1" applyFill="1" applyBorder="1" applyAlignment="1">
      <alignment horizontal="center"/>
    </xf>
    <xf numFmtId="165" fontId="4" fillId="8" borderId="5" xfId="0" applyNumberFormat="1" applyFont="1" applyFill="1" applyBorder="1" applyAlignment="1">
      <alignment horizontal="center"/>
    </xf>
    <xf numFmtId="164" fontId="5" fillId="8" borderId="5" xfId="0" applyNumberFormat="1" applyFont="1" applyFill="1" applyBorder="1" applyAlignment="1">
      <alignment horizontal="center"/>
    </xf>
    <xf numFmtId="0" fontId="4" fillId="5" borderId="21" xfId="0" applyFont="1" applyFill="1" applyBorder="1"/>
    <xf numFmtId="2" fontId="5" fillId="5" borderId="21" xfId="0" applyNumberFormat="1" applyFont="1" applyFill="1" applyBorder="1"/>
    <xf numFmtId="2" fontId="4" fillId="5" borderId="21" xfId="0" applyNumberFormat="1" applyFont="1" applyFill="1" applyBorder="1"/>
    <xf numFmtId="2" fontId="4" fillId="5" borderId="0" xfId="0" applyNumberFormat="1" applyFont="1" applyFill="1"/>
    <xf numFmtId="2" fontId="31" fillId="0" borderId="21" xfId="0" applyNumberFormat="1" applyFont="1" applyBorder="1"/>
    <xf numFmtId="2" fontId="29" fillId="0" borderId="21" xfId="0" applyNumberFormat="1" applyFont="1" applyFill="1" applyBorder="1"/>
    <xf numFmtId="0" fontId="29" fillId="0" borderId="21" xfId="0" applyFont="1" applyFill="1" applyBorder="1"/>
    <xf numFmtId="2" fontId="29" fillId="0" borderId="47" xfId="0" applyNumberFormat="1" applyFont="1" applyFill="1" applyBorder="1"/>
    <xf numFmtId="0" fontId="29" fillId="0" borderId="0" xfId="0" applyFont="1" applyBorder="1"/>
    <xf numFmtId="2" fontId="31" fillId="0" borderId="47" xfId="0" applyNumberFormat="1" applyFont="1" applyFill="1" applyBorder="1"/>
    <xf numFmtId="2" fontId="31" fillId="0" borderId="21" xfId="0" applyNumberFormat="1" applyFont="1" applyFill="1" applyBorder="1"/>
    <xf numFmtId="2" fontId="29" fillId="0" borderId="47" xfId="0" applyNumberFormat="1" applyFont="1" applyFill="1" applyBorder="1" applyAlignment="1">
      <alignment horizontal="left" indent="1"/>
    </xf>
    <xf numFmtId="2" fontId="29" fillId="0" borderId="47" xfId="0" applyNumberFormat="1" applyFont="1" applyFill="1" applyBorder="1"/>
    <xf numFmtId="2" fontId="29" fillId="0" borderId="48" xfId="0" applyNumberFormat="1" applyFont="1" applyFill="1" applyBorder="1" applyAlignment="1">
      <alignment horizontal="left" indent="1"/>
    </xf>
    <xf numFmtId="2" fontId="29" fillId="0" borderId="49" xfId="0" applyNumberFormat="1" applyFont="1" applyBorder="1"/>
    <xf numFmtId="0" fontId="29" fillId="0" borderId="45" xfId="0" applyFont="1" applyBorder="1"/>
    <xf numFmtId="2" fontId="29" fillId="0" borderId="50" xfId="0" applyNumberFormat="1" applyFont="1" applyFill="1" applyBorder="1"/>
    <xf numFmtId="0" fontId="29" fillId="0" borderId="51" xfId="0" applyFont="1" applyFill="1" applyBorder="1"/>
    <xf numFmtId="2" fontId="31" fillId="0" borderId="52" xfId="0" applyNumberFormat="1" applyFont="1" applyFill="1" applyBorder="1"/>
    <xf numFmtId="2" fontId="29" fillId="0" borderId="52" xfId="0" applyNumberFormat="1" applyFont="1" applyFill="1" applyBorder="1"/>
    <xf numFmtId="2" fontId="29" fillId="0" borderId="53" xfId="0" applyNumberFormat="1" applyFont="1" applyFill="1" applyBorder="1"/>
    <xf numFmtId="2" fontId="31" fillId="0" borderId="0" xfId="0" applyNumberFormat="1" applyFont="1" applyBorder="1"/>
    <xf numFmtId="14" fontId="15" fillId="0" borderId="29" xfId="0" applyNumberFormat="1" applyFont="1" applyFill="1" applyBorder="1" applyAlignment="1">
      <alignment horizontal="left" wrapText="1"/>
    </xf>
    <xf numFmtId="14" fontId="15" fillId="0" borderId="0" xfId="0" applyNumberFormat="1" applyFont="1" applyFill="1" applyBorder="1" applyAlignment="1">
      <alignment horizontal="left" wrapText="1"/>
    </xf>
    <xf numFmtId="1" fontId="17" fillId="0" borderId="29" xfId="0" applyNumberFormat="1" applyFont="1" applyFill="1" applyBorder="1" applyAlignment="1">
      <alignment horizontal="left" wrapText="1"/>
    </xf>
    <xf numFmtId="1" fontId="17" fillId="0" borderId="17" xfId="0" applyNumberFormat="1" applyFont="1" applyFill="1" applyBorder="1" applyAlignment="1">
      <alignment horizontal="left" wrapText="1"/>
    </xf>
    <xf numFmtId="1" fontId="17" fillId="0" borderId="54" xfId="0" applyNumberFormat="1" applyFont="1" applyFill="1" applyBorder="1" applyAlignment="1">
      <alignment horizontal="left" wrapText="1"/>
    </xf>
    <xf numFmtId="1" fontId="17" fillId="0" borderId="18" xfId="0" applyNumberFormat="1" applyFont="1" applyFill="1" applyBorder="1" applyAlignment="1">
      <alignment horizontal="left" wrapText="1"/>
    </xf>
    <xf numFmtId="0" fontId="27" fillId="0" borderId="21" xfId="0" applyFont="1" applyBorder="1" applyAlignment="1"/>
    <xf numFmtId="0" fontId="27" fillId="0" borderId="33" xfId="0" applyFont="1" applyBorder="1" applyAlignment="1"/>
    <xf numFmtId="0" fontId="27" fillId="0" borderId="34" xfId="0" applyFont="1" applyBorder="1" applyAlignment="1"/>
    <xf numFmtId="0" fontId="27" fillId="0" borderId="35" xfId="0" applyFont="1" applyBorder="1" applyAlignment="1"/>
    <xf numFmtId="0" fontId="37" fillId="0" borderId="0" xfId="0" applyFont="1" applyAlignment="1">
      <alignment wrapText="1"/>
    </xf>
    <xf numFmtId="0" fontId="21" fillId="0" borderId="21" xfId="0" applyFont="1" applyFill="1" applyBorder="1" applyAlignment="1"/>
    <xf numFmtId="0" fontId="21" fillId="0" borderId="21" xfId="0" applyFont="1" applyBorder="1" applyAlignment="1"/>
    <xf numFmtId="0" fontId="37" fillId="0" borderId="21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2" fontId="4" fillId="3" borderId="27" xfId="0" applyNumberFormat="1" applyFont="1" applyFill="1" applyBorder="1" applyAlignment="1">
      <alignment horizontal="center" vertical="center"/>
    </xf>
    <xf numFmtId="2" fontId="4" fillId="3" borderId="16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2" fontId="5" fillId="3" borderId="27" xfId="0" applyNumberFormat="1" applyFont="1" applyFill="1" applyBorder="1" applyAlignment="1">
      <alignment horizontal="center" vertical="center"/>
    </xf>
    <xf numFmtId="2" fontId="5" fillId="3" borderId="16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2" fontId="36" fillId="2" borderId="3" xfId="0" applyNumberFormat="1" applyFont="1" applyFill="1" applyBorder="1" applyAlignment="1">
      <alignment horizontal="center" wrapText="1"/>
    </xf>
    <xf numFmtId="2" fontId="36" fillId="2" borderId="2" xfId="0" applyNumberFormat="1" applyFont="1" applyFill="1" applyBorder="1" applyAlignment="1">
      <alignment horizontal="center" wrapText="1"/>
    </xf>
    <xf numFmtId="2" fontId="36" fillId="2" borderId="15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2" fontId="36" fillId="2" borderId="58" xfId="0" applyNumberFormat="1" applyFont="1" applyFill="1" applyBorder="1" applyAlignment="1">
      <alignment horizontal="center" wrapText="1"/>
    </xf>
    <xf numFmtId="2" fontId="36" fillId="2" borderId="6" xfId="0" applyNumberFormat="1" applyFont="1" applyFill="1" applyBorder="1" applyAlignment="1">
      <alignment horizontal="center" wrapText="1"/>
    </xf>
    <xf numFmtId="0" fontId="5" fillId="2" borderId="5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2" fontId="4" fillId="2" borderId="58" xfId="0" applyNumberFormat="1" applyFont="1" applyFill="1" applyBorder="1" applyAlignment="1">
      <alignment horizontal="center" wrapText="1"/>
    </xf>
    <xf numFmtId="2" fontId="4" fillId="2" borderId="6" xfId="0" applyNumberFormat="1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left"/>
    </xf>
    <xf numFmtId="0" fontId="5" fillId="2" borderId="59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165" fontId="5" fillId="2" borderId="61" xfId="0" applyNumberFormat="1" applyFont="1" applyFill="1" applyBorder="1" applyAlignment="1">
      <alignment horizontal="center"/>
    </xf>
    <xf numFmtId="165" fontId="5" fillId="2" borderId="62" xfId="0" applyNumberFormat="1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 wrapText="1"/>
    </xf>
    <xf numFmtId="0" fontId="5" fillId="2" borderId="64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/>
    </xf>
    <xf numFmtId="0" fontId="1" fillId="2" borderId="65" xfId="0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/>
    </xf>
    <xf numFmtId="0" fontId="6" fillId="2" borderId="67" xfId="0" applyFont="1" applyFill="1" applyBorder="1" applyAlignment="1">
      <alignment horizontal="center"/>
    </xf>
    <xf numFmtId="0" fontId="6" fillId="2" borderId="68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center" wrapText="1"/>
    </xf>
    <xf numFmtId="0" fontId="6" fillId="2" borderId="60" xfId="0" applyFont="1" applyFill="1" applyBorder="1" applyAlignment="1">
      <alignment horizontal="center" wrapText="1"/>
    </xf>
    <xf numFmtId="0" fontId="24" fillId="2" borderId="59" xfId="0" applyFont="1" applyFill="1" applyBorder="1" applyAlignment="1">
      <alignment horizontal="center"/>
    </xf>
    <xf numFmtId="0" fontId="24" fillId="2" borderId="60" xfId="0" applyFont="1" applyFill="1" applyBorder="1" applyAlignment="1">
      <alignment horizontal="center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Fill="1" applyAlignment="1"/>
    <xf numFmtId="0" fontId="0" fillId="0" borderId="0" xfId="0" applyAlignment="1"/>
    <xf numFmtId="0" fontId="8" fillId="0" borderId="0" xfId="0" applyFont="1" applyAlignment="1">
      <alignment horizontal="center" wrapText="1"/>
    </xf>
    <xf numFmtId="2" fontId="31" fillId="0" borderId="3" xfId="0" applyNumberFormat="1" applyFont="1" applyFill="1" applyBorder="1" applyAlignment="1">
      <alignment wrapText="1"/>
    </xf>
    <xf numFmtId="0" fontId="6" fillId="0" borderId="15" xfId="0" applyFont="1" applyBorder="1" applyAlignment="1">
      <alignment wrapText="1"/>
    </xf>
    <xf numFmtId="2" fontId="29" fillId="0" borderId="69" xfId="0" applyNumberFormat="1" applyFont="1" applyFill="1" applyBorder="1" applyAlignment="1">
      <alignment horizontal="center" wrapText="1"/>
    </xf>
    <xf numFmtId="0" fontId="0" fillId="0" borderId="49" xfId="0" applyBorder="1" applyAlignment="1">
      <alignment wrapText="1"/>
    </xf>
    <xf numFmtId="2" fontId="29" fillId="0" borderId="70" xfId="0" applyNumberFormat="1" applyFont="1" applyFill="1" applyBorder="1" applyAlignment="1">
      <alignment horizontal="center" wrapText="1"/>
    </xf>
    <xf numFmtId="0" fontId="42" fillId="0" borderId="53" xfId="0" applyFont="1" applyFill="1" applyBorder="1" applyAlignment="1"/>
  </cellXfs>
  <cellStyles count="15">
    <cellStyle name="Comma 2" xfId="1"/>
    <cellStyle name="Excel Built-in Normal" xfId="2"/>
    <cellStyle name="Normal_Tarif_Xmelnizki" xfId="3"/>
    <cellStyle name="Normal_Tarif_Xmelnizki 2" xfId="4"/>
    <cellStyle name="Tytuі" xfId="5"/>
    <cellStyle name="Відсотковий 2" xfId="6"/>
    <cellStyle name="Звичайний 2" xfId="7"/>
    <cellStyle name="Звичайний 3" xfId="8"/>
    <cellStyle name="Обычный" xfId="0" builtinId="0"/>
    <cellStyle name="Обычный 2" xfId="9"/>
    <cellStyle name="Обычный 4" xfId="10"/>
    <cellStyle name="Обычный 9" xfId="11"/>
    <cellStyle name="Процентный 2" xfId="12"/>
    <cellStyle name="Финансовый 2" xfId="13"/>
    <cellStyle name="Финансов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i-server\OfficeWork\Irpin\Tarif_Irpin_11_07%20_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plo/Downloads/&#1051;&#1110;&#1085;&#1072;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plo/Downloads/&#1055;&#1080;&#1090;&#1086;&#1084;&#1110;%20&#1085;&#1086;&#1088;&#1084;&#1080;%20%20&#1085;&#1072;%202020%20&#1088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plo/Downloads/&#1051;&#1110;&#1085;&#1072;%20&#1090;&#1072;&#1088;&#1080;&#1092;%2020-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міст"/>
      <sheetName val="Вхідні дані"/>
      <sheetName val="Хар.ліцен."/>
      <sheetName val="Заг.хар.ліц.Дод9"/>
      <sheetName val="Обсяги вироб_реаліз_ТЕ"/>
      <sheetName val="Дод2"/>
      <sheetName val="Інвест_Програм"/>
      <sheetName val="Тарифи_послуга ЦО_ГВП"/>
      <sheetName val="Дод.10"/>
      <sheetName val="Дод.3"/>
      <sheetName val="Дод4"/>
      <sheetName val="Дод5"/>
      <sheetName val="Дод.6"/>
      <sheetName val="Витрати_дод.НК"/>
      <sheetName val="Повна собівартість_ТЕ"/>
      <sheetName val="Прямі_ТЕ_всього"/>
      <sheetName val="прямі_інші"/>
      <sheetName val="Загальновиробничі"/>
      <sheetName val="Адміністративні"/>
      <sheetName val="Збут"/>
      <sheetName val="Паливо"/>
      <sheetName val="паливо (НКРКП)"/>
      <sheetName val="Дод.7"/>
      <sheetName val="Електр_енерг"/>
      <sheetName val="електроенергія(НКРРКП)"/>
      <sheetName val="Дод.8"/>
      <sheetName val="ПММ"/>
      <sheetName val="Хім_реаг"/>
      <sheetName val="дод.11 вода"/>
      <sheetName val="Вода_Водовід"/>
      <sheetName val="Амортизація"/>
      <sheetName val="Охорон_ праці"/>
      <sheetName val="Дод.13_ЗП_ЗУ&quot;ОП&quot;"/>
      <sheetName val="Дод.14_ЗП_ПсБО16"/>
      <sheetName val="ЗП_Всього по під-ву"/>
      <sheetName val="Заг.ЗП за рік"/>
      <sheetName val="Літо (виробництво ТЕЦ та ін.)"/>
      <sheetName val="Зима (виробництво ТЕЦ та ін.)"/>
      <sheetName val="Літо (виробництво)"/>
      <sheetName val="Зима (виробництво)"/>
      <sheetName val="Літо (транспортування)"/>
      <sheetName val="Зима (транспортування)"/>
      <sheetName val="Літо (постачання)"/>
      <sheetName val="Зима (постачання)"/>
      <sheetName val="Літо (заг.-виробничі)"/>
      <sheetName val="Зима (заг.-виробничі)"/>
      <sheetName val="Літо (адміністративні)"/>
      <sheetName val="Зима (адміністративні)"/>
      <sheetName val="Подат_Збори"/>
      <sheetName val="Зв_язок"/>
      <sheetName val="Фін_витр"/>
      <sheetName val="дод.12 ремонти"/>
      <sheetName val="Ремонти"/>
      <sheetName val="Тепловий баланс_Питома_нор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Вхідні дані"/>
      <sheetName val="Характер.котельних"/>
      <sheetName val="Навантаження"/>
      <sheetName val="Річна потреба ТЕ на опалення"/>
      <sheetName val="Січень"/>
      <sheetName val="Лютий"/>
      <sheetName val="Березень"/>
      <sheetName val="Квітень"/>
      <sheetName val="Жовтень"/>
      <sheetName val="Листопад"/>
      <sheetName val="Грудень"/>
      <sheetName val="РІК"/>
      <sheetName val="ПАЛИВО_ІНД"/>
      <sheetName val="Паливо_Рік"/>
      <sheetName val="Вода_Рік"/>
      <sheetName val="План тепла зведений"/>
      <sheetName val="Паливо, електр., вода Рік "/>
      <sheetName val="Паливо, електр., вода Рік  (2)"/>
      <sheetName val="Калорійність"/>
      <sheetName val="ЕЕ_РІК"/>
      <sheetName val="ЕЕ_РЕМ"/>
      <sheetName val="Витрати на ПЕР в грн."/>
      <sheetName val="Сіль"/>
      <sheetName val="ТАРИФИ"/>
      <sheetName val="ПОВНА СВ"/>
      <sheetName val="ПРЯМІ"/>
      <sheetName val="ЗВВ"/>
      <sheetName val="ДО_ЗВВ"/>
      <sheetName val="АДМІН"/>
      <sheetName val="ДО_АДМІН"/>
      <sheetName val="Амортизація"/>
      <sheetName val="ПММ"/>
      <sheetName val="Звязок"/>
      <sheetName val="тар сітка"/>
      <sheetName val="посад оклади"/>
      <sheetName val="ІТП"/>
      <sheetName val="роб опал пер"/>
      <sheetName val="роб рем пер"/>
      <sheetName val="ФОП РІК"/>
      <sheetName val="чисельність"/>
    </sheetNames>
    <sheetDataSet>
      <sheetData sheetId="0" refreshError="1"/>
      <sheetData sheetId="1" refreshError="1"/>
      <sheetData sheetId="2" refreshError="1">
        <row r="19">
          <cell r="M19">
            <v>0.1113</v>
          </cell>
        </row>
        <row r="20">
          <cell r="M20">
            <v>0.10199999999999999</v>
          </cell>
        </row>
        <row r="43">
          <cell r="M43">
            <v>1.3463000000000001</v>
          </cell>
        </row>
        <row r="51">
          <cell r="M51">
            <v>1.2431000000000001</v>
          </cell>
        </row>
        <row r="59">
          <cell r="M59">
            <v>0.51880000000000004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Вхідні дані"/>
      <sheetName val="Характер.котельних"/>
      <sheetName val="Навантаження"/>
      <sheetName val="Річна потреба ТЕ на опалення"/>
      <sheetName val="Січень"/>
      <sheetName val="Лютий"/>
      <sheetName val="Березень"/>
      <sheetName val="Квітень"/>
      <sheetName val="Жовтень"/>
      <sheetName val="Листопад"/>
      <sheetName val="Грудень"/>
      <sheetName val="РІК"/>
      <sheetName val="ПАЛИВО_ІНД"/>
      <sheetName val="Паливо_Рік"/>
      <sheetName val="Вода_Рік"/>
      <sheetName val="План тепла зведений"/>
      <sheetName val="Паливо, електр., вода Рік "/>
      <sheetName val="Калорійність"/>
      <sheetName val="ЕЕ_РІК"/>
      <sheetName val="ЕЕ_РЕМ"/>
      <sheetName val="Витрати на ПЕР в грн."/>
      <sheetName val="Сіль"/>
      <sheetName val="ТАРИФИ"/>
      <sheetName val="ПОВНА СВ"/>
      <sheetName val="ПРЯМІ"/>
      <sheetName val="ЗВВ"/>
      <sheetName val="ДО_ЗВВ"/>
      <sheetName val="АДМІН"/>
      <sheetName val="ДО_АДМІН"/>
      <sheetName val="Амортизація"/>
      <sheetName val="ПММ"/>
      <sheetName val="Звязок"/>
      <sheetName val="тар сітка"/>
      <sheetName val="посад оклади"/>
      <sheetName val="ІТП"/>
      <sheetName val="роб опал пер"/>
      <sheetName val="роб рем пер"/>
      <sheetName val="ФОП РІК"/>
      <sheetName val="чисельність"/>
    </sheetNames>
    <sheetDataSet>
      <sheetData sheetId="0">
        <row r="30">
          <cell r="E30">
            <v>15</v>
          </cell>
        </row>
        <row r="31">
          <cell r="E31">
            <v>30</v>
          </cell>
        </row>
        <row r="32">
          <cell r="E32">
            <v>31</v>
          </cell>
        </row>
        <row r="33">
          <cell r="E33">
            <v>31</v>
          </cell>
        </row>
        <row r="35">
          <cell r="E35">
            <v>31</v>
          </cell>
        </row>
        <row r="36">
          <cell r="E36">
            <v>10</v>
          </cell>
        </row>
        <row r="38">
          <cell r="E38">
            <v>18</v>
          </cell>
        </row>
        <row r="39">
          <cell r="E39">
            <v>-22</v>
          </cell>
        </row>
        <row r="41">
          <cell r="E41">
            <v>-0.1</v>
          </cell>
        </row>
        <row r="42">
          <cell r="E42">
            <v>8.1</v>
          </cell>
        </row>
        <row r="43">
          <cell r="E43">
            <v>3</v>
          </cell>
        </row>
        <row r="44">
          <cell r="E44">
            <v>-1.5</v>
          </cell>
        </row>
        <row r="45">
          <cell r="E45">
            <v>-3.7</v>
          </cell>
        </row>
        <row r="46">
          <cell r="E46">
            <v>-2.6</v>
          </cell>
        </row>
        <row r="47">
          <cell r="E47">
            <v>1</v>
          </cell>
        </row>
        <row r="48">
          <cell r="E48">
            <v>9</v>
          </cell>
        </row>
        <row r="49">
          <cell r="E49">
            <v>24</v>
          </cell>
        </row>
      </sheetData>
      <sheetData sheetId="1" refreshError="1"/>
      <sheetData sheetId="2" refreshError="1"/>
      <sheetData sheetId="3">
        <row r="13">
          <cell r="Q13">
            <v>0</v>
          </cell>
          <cell r="R13">
            <v>47.405000000000001</v>
          </cell>
          <cell r="S13">
            <v>0</v>
          </cell>
          <cell r="U13">
            <v>42.795000000000002</v>
          </cell>
          <cell r="X13">
            <v>40.805</v>
          </cell>
          <cell r="AA13">
            <v>9.0180000000000007</v>
          </cell>
          <cell r="AD13">
            <v>14.88</v>
          </cell>
          <cell r="AG13">
            <v>25.09</v>
          </cell>
          <cell r="AJ13">
            <v>40.570999999999998</v>
          </cell>
          <cell r="AN13">
            <v>220.56399999999999</v>
          </cell>
        </row>
        <row r="14">
          <cell r="Q14">
            <v>0</v>
          </cell>
          <cell r="R14">
            <v>11.14</v>
          </cell>
          <cell r="S14">
            <v>0</v>
          </cell>
          <cell r="U14">
            <v>9.8930000000000007</v>
          </cell>
          <cell r="X14">
            <v>8.7270000000000003</v>
          </cell>
          <cell r="AA14">
            <v>1.49</v>
          </cell>
          <cell r="AD14">
            <v>2.4590000000000001</v>
          </cell>
          <cell r="AG14">
            <v>7.452</v>
          </cell>
          <cell r="AJ14">
            <v>10.010999999999999</v>
          </cell>
          <cell r="AN14">
            <v>51.171999999999997</v>
          </cell>
        </row>
        <row r="15">
          <cell r="Q15">
            <v>0</v>
          </cell>
          <cell r="R15">
            <v>13.885</v>
          </cell>
          <cell r="S15">
            <v>0</v>
          </cell>
          <cell r="U15">
            <v>12.33</v>
          </cell>
          <cell r="X15">
            <v>10.877000000000001</v>
          </cell>
          <cell r="AA15">
            <v>1.8580000000000001</v>
          </cell>
          <cell r="AD15">
            <v>3.0649999999999999</v>
          </cell>
          <cell r="AG15">
            <v>9.2880000000000003</v>
          </cell>
          <cell r="AJ15">
            <v>12.477</v>
          </cell>
          <cell r="AN15">
            <v>63.78</v>
          </cell>
        </row>
        <row r="16">
          <cell r="Q16">
            <v>0</v>
          </cell>
          <cell r="R16">
            <v>59.735999999999997</v>
          </cell>
          <cell r="S16">
            <v>0</v>
          </cell>
          <cell r="U16">
            <v>53.048999999999999</v>
          </cell>
          <cell r="X16">
            <v>46.798000000000002</v>
          </cell>
          <cell r="AA16">
            <v>7.992</v>
          </cell>
          <cell r="AD16">
            <v>13.186999999999999</v>
          </cell>
          <cell r="AG16">
            <v>39.96</v>
          </cell>
          <cell r="AJ16">
            <v>53.68</v>
          </cell>
          <cell r="AN16">
            <v>274.40199999999999</v>
          </cell>
        </row>
        <row r="17">
          <cell r="Q17">
            <v>0</v>
          </cell>
          <cell r="R17">
            <v>0</v>
          </cell>
          <cell r="S17">
            <v>14.127000000000001</v>
          </cell>
          <cell r="T17">
            <v>0</v>
          </cell>
          <cell r="U17">
            <v>0</v>
          </cell>
          <cell r="V17">
            <v>12.545</v>
          </cell>
          <cell r="Y17">
            <v>11.067</v>
          </cell>
          <cell r="AB17">
            <v>1.89</v>
          </cell>
          <cell r="AE17">
            <v>3.1190000000000002</v>
          </cell>
          <cell r="AH17">
            <v>9.4499999999999993</v>
          </cell>
          <cell r="AK17">
            <v>12.695</v>
          </cell>
          <cell r="AO17">
            <v>64.893000000000001</v>
          </cell>
        </row>
        <row r="18">
          <cell r="Q18">
            <v>0</v>
          </cell>
          <cell r="R18">
            <v>75.072999999999993</v>
          </cell>
          <cell r="S18">
            <v>0</v>
          </cell>
          <cell r="U18">
            <v>66.67</v>
          </cell>
          <cell r="X18">
            <v>58.813000000000002</v>
          </cell>
          <cell r="AA18">
            <v>10.044</v>
          </cell>
          <cell r="AD18">
            <v>16.573</v>
          </cell>
          <cell r="AG18">
            <v>50.22</v>
          </cell>
          <cell r="AJ18">
            <v>67.462000000000003</v>
          </cell>
          <cell r="AN18">
            <v>344.85500000000002</v>
          </cell>
        </row>
        <row r="19">
          <cell r="Q19">
            <v>0</v>
          </cell>
          <cell r="R19">
            <v>32.29</v>
          </cell>
          <cell r="S19">
            <v>0</v>
          </cell>
          <cell r="U19">
            <v>28.675000000000001</v>
          </cell>
          <cell r="X19">
            <v>25.295999999999999</v>
          </cell>
          <cell r="AA19">
            <v>4.32</v>
          </cell>
          <cell r="AD19">
            <v>7.1280000000000001</v>
          </cell>
          <cell r="AG19">
            <v>21.6</v>
          </cell>
          <cell r="AJ19">
            <v>29.015999999999998</v>
          </cell>
          <cell r="AN19">
            <v>148.32499999999999</v>
          </cell>
        </row>
        <row r="21">
          <cell r="Q21">
            <v>0</v>
          </cell>
          <cell r="S21">
            <v>0</v>
          </cell>
        </row>
        <row r="22">
          <cell r="Q22">
            <v>0</v>
          </cell>
          <cell r="S22">
            <v>0</v>
          </cell>
        </row>
        <row r="23">
          <cell r="Q23">
            <v>0</v>
          </cell>
          <cell r="R23">
            <v>44.923000000000002</v>
          </cell>
          <cell r="S23">
            <v>0</v>
          </cell>
          <cell r="U23">
            <v>39.895000000000003</v>
          </cell>
          <cell r="X23">
            <v>35.192999999999998</v>
          </cell>
          <cell r="AA23">
            <v>6.01</v>
          </cell>
          <cell r="AD23">
            <v>9.9169999999999998</v>
          </cell>
          <cell r="AG23">
            <v>30.050999999999998</v>
          </cell>
          <cell r="AJ23">
            <v>40.369</v>
          </cell>
          <cell r="AN23">
            <v>206.358</v>
          </cell>
        </row>
        <row r="24">
          <cell r="R24">
            <v>41.168999999999997</v>
          </cell>
          <cell r="U24">
            <v>36.561</v>
          </cell>
          <cell r="X24">
            <v>32.252000000000002</v>
          </cell>
          <cell r="AA24">
            <v>5.508</v>
          </cell>
          <cell r="AD24">
            <v>9.0879999999999992</v>
          </cell>
          <cell r="AG24">
            <v>27.54</v>
          </cell>
          <cell r="AJ24">
            <v>36.994999999999997</v>
          </cell>
          <cell r="AN24">
            <v>189.113</v>
          </cell>
        </row>
        <row r="25">
          <cell r="Q25">
            <v>0</v>
          </cell>
          <cell r="R25">
            <v>2.8660000000000001</v>
          </cell>
          <cell r="S25">
            <v>0</v>
          </cell>
          <cell r="U25">
            <v>2.5449999999999999</v>
          </cell>
          <cell r="X25">
            <v>2.2450000000000001</v>
          </cell>
          <cell r="AA25">
            <v>0.38300000000000001</v>
          </cell>
          <cell r="AD25">
            <v>0.63300000000000001</v>
          </cell>
          <cell r="AG25">
            <v>1.917</v>
          </cell>
          <cell r="AJ25">
            <v>2.5750000000000002</v>
          </cell>
          <cell r="AN25">
            <v>13.164</v>
          </cell>
        </row>
        <row r="26">
          <cell r="Q26">
            <v>0</v>
          </cell>
          <cell r="R26">
            <v>10.372999999999999</v>
          </cell>
          <cell r="S26">
            <v>0</v>
          </cell>
          <cell r="U26">
            <v>9.2119999999999997</v>
          </cell>
          <cell r="X26">
            <v>8.1259999999999994</v>
          </cell>
          <cell r="AA26">
            <v>1.3879999999999999</v>
          </cell>
          <cell r="AD26">
            <v>2.29</v>
          </cell>
          <cell r="AG26">
            <v>6.9390000000000001</v>
          </cell>
          <cell r="AJ26">
            <v>9.3209999999999997</v>
          </cell>
          <cell r="AN26">
            <v>47.649000000000001</v>
          </cell>
        </row>
        <row r="27">
          <cell r="Q27">
            <v>0</v>
          </cell>
          <cell r="R27">
            <v>109.381</v>
          </cell>
          <cell r="S27">
            <v>0</v>
          </cell>
          <cell r="U27">
            <v>97.137</v>
          </cell>
          <cell r="X27">
            <v>85.69</v>
          </cell>
          <cell r="AA27">
            <v>14.634</v>
          </cell>
          <cell r="AD27">
            <v>24.146000000000001</v>
          </cell>
          <cell r="AG27">
            <v>73.17</v>
          </cell>
          <cell r="AJ27">
            <v>98.292000000000002</v>
          </cell>
          <cell r="AN27">
            <v>502.45</v>
          </cell>
        </row>
        <row r="28">
          <cell r="S28">
            <v>0</v>
          </cell>
        </row>
        <row r="29">
          <cell r="S29">
            <v>0</v>
          </cell>
        </row>
        <row r="30">
          <cell r="S30">
            <v>0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44">
          <cell r="Q44">
            <v>44.802999999999997</v>
          </cell>
          <cell r="R44">
            <v>437.64600000000002</v>
          </cell>
          <cell r="S44">
            <v>60.947000000000003</v>
          </cell>
          <cell r="T44">
            <v>39.786999999999999</v>
          </cell>
          <cell r="U44">
            <v>388.65800000000002</v>
          </cell>
          <cell r="V44">
            <v>45.430999999999997</v>
          </cell>
          <cell r="W44">
            <v>35.097999999999999</v>
          </cell>
          <cell r="X44">
            <v>342.85700000000003</v>
          </cell>
          <cell r="Y44">
            <v>27.745999999999999</v>
          </cell>
          <cell r="Z44">
            <v>5.9939999999999998</v>
          </cell>
          <cell r="AA44">
            <v>58.552</v>
          </cell>
          <cell r="AB44">
            <v>0</v>
          </cell>
          <cell r="AC44">
            <v>9.891</v>
          </cell>
          <cell r="AD44">
            <v>96.611000000000004</v>
          </cell>
          <cell r="AF44">
            <v>29.97</v>
          </cell>
          <cell r="AG44">
            <v>292.76100000000002</v>
          </cell>
          <cell r="AH44">
            <v>30.77</v>
          </cell>
          <cell r="AI44">
            <v>40.26</v>
          </cell>
          <cell r="AJ44">
            <v>393.27600000000001</v>
          </cell>
          <cell r="AK44">
            <v>44.768000000000001</v>
          </cell>
          <cell r="AM44">
            <v>205.803</v>
          </cell>
          <cell r="AN44">
            <v>2010.3610000000001</v>
          </cell>
          <cell r="AO44">
            <v>209.66200000000001</v>
          </cell>
        </row>
        <row r="52">
          <cell r="Q52">
            <v>50.048999999999999</v>
          </cell>
          <cell r="R52">
            <v>379.40300000000002</v>
          </cell>
          <cell r="S52">
            <v>72.287999999999997</v>
          </cell>
          <cell r="T52">
            <v>44.447000000000003</v>
          </cell>
          <cell r="U52">
            <v>336.93400000000003</v>
          </cell>
          <cell r="V52">
            <v>64.197000000000003</v>
          </cell>
          <cell r="W52">
            <v>39.209000000000003</v>
          </cell>
          <cell r="X52">
            <v>297.22800000000001</v>
          </cell>
          <cell r="Y52">
            <v>56.631</v>
          </cell>
          <cell r="Z52">
            <v>6.6959999999999997</v>
          </cell>
          <cell r="AA52">
            <v>50.76</v>
          </cell>
          <cell r="AB52">
            <v>9.6709999999999994</v>
          </cell>
          <cell r="AC52">
            <v>11.048</v>
          </cell>
          <cell r="AD52">
            <v>83.754000000000005</v>
          </cell>
          <cell r="AE52">
            <v>15.958</v>
          </cell>
          <cell r="AF52">
            <v>33.479999999999997</v>
          </cell>
          <cell r="AG52">
            <v>253.8</v>
          </cell>
          <cell r="AH52">
            <v>48.356999999999999</v>
          </cell>
          <cell r="AI52">
            <v>44.975000000000001</v>
          </cell>
          <cell r="AJ52">
            <v>340.93799999999999</v>
          </cell>
          <cell r="AK52">
            <v>64.959999999999994</v>
          </cell>
          <cell r="AM52">
            <v>229.904</v>
          </cell>
          <cell r="AN52">
            <v>1742.817</v>
          </cell>
          <cell r="AO52">
            <v>332.06200000000001</v>
          </cell>
        </row>
        <row r="53">
          <cell r="R53">
            <v>90.814999999999998</v>
          </cell>
          <cell r="U53">
            <v>80.649000000000001</v>
          </cell>
          <cell r="X53">
            <v>71.144999999999996</v>
          </cell>
          <cell r="AA53">
            <v>12.15</v>
          </cell>
          <cell r="AD53">
            <v>20.047999999999998</v>
          </cell>
          <cell r="AG53">
            <v>60.75</v>
          </cell>
          <cell r="AJ53">
            <v>81.608000000000004</v>
          </cell>
          <cell r="AN53">
            <v>417.16500000000002</v>
          </cell>
        </row>
        <row r="54">
          <cell r="R54">
            <v>129.15799999999999</v>
          </cell>
          <cell r="U54">
            <v>114.70099999999999</v>
          </cell>
          <cell r="X54">
            <v>101.184</v>
          </cell>
          <cell r="AA54">
            <v>17.28</v>
          </cell>
          <cell r="AD54">
            <v>28.512</v>
          </cell>
          <cell r="AG54">
            <v>86.4</v>
          </cell>
          <cell r="AJ54">
            <v>116.06399999999999</v>
          </cell>
          <cell r="AN54">
            <v>593.29899999999998</v>
          </cell>
        </row>
        <row r="55">
          <cell r="R55">
            <v>58.524999999999999</v>
          </cell>
          <cell r="T55">
            <v>0</v>
          </cell>
          <cell r="U55">
            <v>51.973999999999997</v>
          </cell>
          <cell r="X55">
            <v>45.848999999999997</v>
          </cell>
          <cell r="AA55">
            <v>7.83</v>
          </cell>
          <cell r="AD55">
            <v>12.92</v>
          </cell>
          <cell r="AG55">
            <v>39.15</v>
          </cell>
          <cell r="AJ55">
            <v>52.591999999999999</v>
          </cell>
          <cell r="AN55">
            <v>268.83999999999997</v>
          </cell>
        </row>
        <row r="56">
          <cell r="Q56">
            <v>0</v>
          </cell>
          <cell r="R56">
            <v>28.253</v>
          </cell>
          <cell r="S56">
            <v>0</v>
          </cell>
          <cell r="T56">
            <v>0</v>
          </cell>
          <cell r="U56">
            <v>25.091000000000001</v>
          </cell>
          <cell r="X56">
            <v>22.134</v>
          </cell>
          <cell r="AA56">
            <v>3.78</v>
          </cell>
          <cell r="AD56">
            <v>6.2370000000000001</v>
          </cell>
          <cell r="AG56">
            <v>18.899999999999999</v>
          </cell>
          <cell r="AJ56">
            <v>25.388999999999999</v>
          </cell>
          <cell r="AN56">
            <v>129.78399999999999</v>
          </cell>
        </row>
        <row r="57">
          <cell r="Q57">
            <v>0</v>
          </cell>
          <cell r="R57">
            <v>82.742000000000004</v>
          </cell>
          <cell r="S57">
            <v>0</v>
          </cell>
          <cell r="T57">
            <v>0</v>
          </cell>
          <cell r="U57">
            <v>73.48</v>
          </cell>
          <cell r="X57">
            <v>64.820999999999998</v>
          </cell>
          <cell r="AA57">
            <v>11.07</v>
          </cell>
          <cell r="AD57">
            <v>18.265999999999998</v>
          </cell>
          <cell r="AG57">
            <v>55.35</v>
          </cell>
          <cell r="AJ57">
            <v>74.353999999999999</v>
          </cell>
          <cell r="AN57">
            <v>380.08300000000003</v>
          </cell>
        </row>
        <row r="58">
          <cell r="Q58">
            <v>0</v>
          </cell>
          <cell r="R58">
            <v>9.6869999999999994</v>
          </cell>
          <cell r="S58">
            <v>0</v>
          </cell>
          <cell r="T58">
            <v>0</v>
          </cell>
          <cell r="U58">
            <v>8.6029999999999998</v>
          </cell>
          <cell r="X58">
            <v>7.5890000000000004</v>
          </cell>
          <cell r="AA58">
            <v>1.296</v>
          </cell>
          <cell r="AD58">
            <v>2.1379999999999999</v>
          </cell>
          <cell r="AG58">
            <v>6.48</v>
          </cell>
          <cell r="AJ58">
            <v>8.7050000000000001</v>
          </cell>
          <cell r="AN58">
            <v>44.497999999999998</v>
          </cell>
        </row>
        <row r="59">
          <cell r="R59">
            <v>16.145</v>
          </cell>
          <cell r="T59">
            <v>0</v>
          </cell>
          <cell r="U59">
            <v>14.337999999999999</v>
          </cell>
          <cell r="X59">
            <v>12.648</v>
          </cell>
          <cell r="AA59">
            <v>2.16</v>
          </cell>
          <cell r="AD59">
            <v>3.5640000000000001</v>
          </cell>
          <cell r="AG59">
            <v>10.8</v>
          </cell>
          <cell r="AJ59">
            <v>14.507999999999999</v>
          </cell>
          <cell r="AN59">
            <v>74.162999999999997</v>
          </cell>
        </row>
        <row r="60">
          <cell r="Q60">
            <v>0</v>
          </cell>
          <cell r="R60">
            <v>138.845</v>
          </cell>
          <cell r="S60">
            <v>0</v>
          </cell>
          <cell r="T60">
            <v>0</v>
          </cell>
          <cell r="U60">
            <v>123.303</v>
          </cell>
          <cell r="X60">
            <v>108.773</v>
          </cell>
          <cell r="AA60">
            <v>18.576000000000001</v>
          </cell>
          <cell r="AD60">
            <v>30.65</v>
          </cell>
          <cell r="AG60">
            <v>92.88</v>
          </cell>
          <cell r="AJ60">
            <v>124.76900000000001</v>
          </cell>
          <cell r="AN60">
            <v>637.79600000000005</v>
          </cell>
        </row>
        <row r="61">
          <cell r="Q61">
            <v>0</v>
          </cell>
          <cell r="R61">
            <v>37.738</v>
          </cell>
          <cell r="S61">
            <v>0</v>
          </cell>
          <cell r="U61">
            <v>33.514000000000003</v>
          </cell>
          <cell r="X61">
            <v>29.565000000000001</v>
          </cell>
          <cell r="AA61">
            <v>5.0490000000000004</v>
          </cell>
          <cell r="AD61">
            <v>8.3309999999999995</v>
          </cell>
          <cell r="AG61">
            <v>25.245000000000001</v>
          </cell>
          <cell r="AJ61">
            <v>33.911999999999999</v>
          </cell>
          <cell r="AN61">
            <v>173.35400000000001</v>
          </cell>
        </row>
        <row r="62">
          <cell r="Q62">
            <v>0</v>
          </cell>
          <cell r="R62">
            <v>32.814</v>
          </cell>
          <cell r="S62">
            <v>0</v>
          </cell>
          <cell r="U62">
            <v>29.140999999999998</v>
          </cell>
          <cell r="X62">
            <v>25.707000000000001</v>
          </cell>
          <cell r="AA62">
            <v>4.3899999999999997</v>
          </cell>
          <cell r="AD62">
            <v>7.2439999999999998</v>
          </cell>
          <cell r="AG62">
            <v>21.951000000000001</v>
          </cell>
          <cell r="AJ62">
            <v>29.488</v>
          </cell>
          <cell r="AN62">
            <v>150.73500000000001</v>
          </cell>
        </row>
        <row r="63">
          <cell r="Q63">
            <v>0</v>
          </cell>
          <cell r="R63">
            <v>53.680999999999997</v>
          </cell>
          <cell r="S63">
            <v>0</v>
          </cell>
          <cell r="U63">
            <v>47.673000000000002</v>
          </cell>
          <cell r="X63">
            <v>42.055</v>
          </cell>
          <cell r="AA63">
            <v>7.1820000000000004</v>
          </cell>
          <cell r="AD63">
            <v>11.85</v>
          </cell>
          <cell r="AG63">
            <v>35.909999999999997</v>
          </cell>
          <cell r="AJ63">
            <v>48.238999999999997</v>
          </cell>
          <cell r="AN63">
            <v>246.59</v>
          </cell>
        </row>
        <row r="64">
          <cell r="Q64">
            <v>0</v>
          </cell>
          <cell r="R64">
            <v>29.949000000000002</v>
          </cell>
          <cell r="S64">
            <v>0</v>
          </cell>
          <cell r="U64">
            <v>26.596</v>
          </cell>
          <cell r="X64">
            <v>23.462</v>
          </cell>
          <cell r="AA64">
            <v>4.0069999999999997</v>
          </cell>
          <cell r="AD64">
            <v>6.6109999999999998</v>
          </cell>
          <cell r="AG64">
            <v>20.033999999999999</v>
          </cell>
          <cell r="AJ64">
            <v>26.911999999999999</v>
          </cell>
          <cell r="AN64">
            <v>137.571</v>
          </cell>
        </row>
        <row r="65">
          <cell r="Q65">
            <v>0</v>
          </cell>
          <cell r="R65">
            <v>18.283999999999999</v>
          </cell>
          <cell r="S65">
            <v>0</v>
          </cell>
          <cell r="U65">
            <v>16.236999999999998</v>
          </cell>
          <cell r="X65">
            <v>14.324</v>
          </cell>
          <cell r="AA65">
            <v>2.4460000000000002</v>
          </cell>
          <cell r="AD65">
            <v>4.0359999999999996</v>
          </cell>
          <cell r="AG65">
            <v>12.231</v>
          </cell>
          <cell r="AJ65">
            <v>16.43</v>
          </cell>
          <cell r="AN65">
            <v>83.988</v>
          </cell>
        </row>
      </sheetData>
      <sheetData sheetId="4">
        <row r="17">
          <cell r="R17">
            <v>14.473000000000001</v>
          </cell>
        </row>
        <row r="35">
          <cell r="R35">
            <v>2372.3150000000001</v>
          </cell>
          <cell r="S35">
            <v>104.708</v>
          </cell>
          <cell r="T35">
            <v>2106.0639999999999</v>
          </cell>
          <cell r="U35">
            <v>161.542</v>
          </cell>
        </row>
        <row r="39">
          <cell r="Q39">
            <v>2358.779</v>
          </cell>
        </row>
        <row r="40">
          <cell r="R40">
            <v>2344.306</v>
          </cell>
        </row>
      </sheetData>
      <sheetData sheetId="5">
        <row r="17">
          <cell r="R17">
            <v>12.853</v>
          </cell>
        </row>
        <row r="39">
          <cell r="Q39">
            <v>2072.9899999999998</v>
          </cell>
        </row>
        <row r="41">
          <cell r="Q41">
            <v>2085.8429999999998</v>
          </cell>
        </row>
      </sheetData>
      <sheetData sheetId="6">
        <row r="17">
          <cell r="R17">
            <v>11.337999999999999</v>
          </cell>
        </row>
        <row r="34">
          <cell r="Y34">
            <v>1866.498</v>
          </cell>
          <cell r="Z34">
            <v>1948.527</v>
          </cell>
          <cell r="AA34">
            <v>1722.856</v>
          </cell>
          <cell r="AB34">
            <v>1780.2760000000001</v>
          </cell>
        </row>
        <row r="38">
          <cell r="Q38">
            <v>1818.1959999999999</v>
          </cell>
        </row>
        <row r="40">
          <cell r="Q40">
            <v>1829.5340000000001</v>
          </cell>
        </row>
      </sheetData>
      <sheetData sheetId="7">
        <row r="34">
          <cell r="Y34">
            <v>315.55200000000002</v>
          </cell>
          <cell r="Z34">
            <v>329.56099999999998</v>
          </cell>
          <cell r="AA34">
            <v>296.33100000000002</v>
          </cell>
          <cell r="AB34">
            <v>300.94299999999998</v>
          </cell>
        </row>
      </sheetData>
      <sheetData sheetId="8">
        <row r="17">
          <cell r="R17">
            <v>3.1949999999999998</v>
          </cell>
        </row>
        <row r="34">
          <cell r="Y34">
            <v>520.66399999999999</v>
          </cell>
          <cell r="Z34">
            <v>543.77800000000002</v>
          </cell>
          <cell r="AA34">
            <v>488.95299999999997</v>
          </cell>
          <cell r="AB34">
            <v>496.56</v>
          </cell>
        </row>
        <row r="38">
          <cell r="Q38">
            <v>507.16800000000001</v>
          </cell>
        </row>
        <row r="40">
          <cell r="Q40">
            <v>510.363</v>
          </cell>
        </row>
      </sheetData>
      <sheetData sheetId="9">
        <row r="17">
          <cell r="R17">
            <v>9.6820000000000004</v>
          </cell>
        </row>
        <row r="38">
          <cell r="Q38">
            <v>1550.3389999999999</v>
          </cell>
        </row>
        <row r="40">
          <cell r="Q40">
            <v>1560.021</v>
          </cell>
        </row>
      </sheetData>
      <sheetData sheetId="10">
        <row r="17">
          <cell r="R17">
            <v>13.006</v>
          </cell>
        </row>
        <row r="34">
          <cell r="Y34">
            <v>2149.0720000000001</v>
          </cell>
          <cell r="Z34">
            <v>2243.163</v>
          </cell>
          <cell r="AA34">
            <v>1969.8050000000001</v>
          </cell>
          <cell r="AB34">
            <v>2049.8470000000002</v>
          </cell>
        </row>
        <row r="38">
          <cell r="Q38">
            <v>2093.4859999999999</v>
          </cell>
        </row>
        <row r="40">
          <cell r="Q40">
            <v>2106.4920000000002</v>
          </cell>
        </row>
      </sheetData>
      <sheetData sheetId="11"/>
      <sheetData sheetId="12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Вхідні дані"/>
      <sheetName val="характеристика котельних"/>
      <sheetName val="навантаження"/>
      <sheetName val="річна потреба те на опалення"/>
      <sheetName val="січ2020"/>
      <sheetName val="лют2020"/>
      <sheetName val="берез2020"/>
      <sheetName val="квіт2020"/>
      <sheetName val="жовт2019"/>
      <sheetName val="листопад2019"/>
      <sheetName val="груд2019"/>
      <sheetName val="РІК"/>
      <sheetName val="інд норми зміни"/>
      <sheetName val="паливо РІК"/>
      <sheetName val="план тепл енерг"/>
      <sheetName val="План пал елен вода РІК"/>
      <sheetName val="калорійність"/>
      <sheetName val="ЕлЕнРІК"/>
      <sheetName val="ЕЕ РЕМ"/>
      <sheetName val="Витрати на ПЕР в грн."/>
      <sheetName val="вода2019-2020"/>
      <sheetName val="Сіль"/>
      <sheetName val="ТАРИФИ"/>
      <sheetName val="ПОВНА СВ"/>
      <sheetName val="ПРЯМІ"/>
      <sheetName val="ЗВВ"/>
      <sheetName val="ДО_ЗВВ"/>
      <sheetName val="мило"/>
      <sheetName val="молоко"/>
      <sheetName val="мед огляд"/>
      <sheetName val="спецодяг"/>
      <sheetName val="АДМІН"/>
      <sheetName val="ДО_АДМІН"/>
      <sheetName val="АМОРТ ЗМІНИ"/>
      <sheetName val="АМОРТИЗ квіт2019"/>
      <sheetName val="ПММ"/>
      <sheetName val="Звязок"/>
      <sheetName val="тар сітка"/>
      <sheetName val="посад оклади"/>
      <sheetName val="ІТП"/>
      <sheetName val="роб опал пер"/>
      <sheetName val="роб рем пер"/>
      <sheetName val="ФОП РІК"/>
      <sheetName val="відрядження"/>
      <sheetName val="відрах банкам"/>
      <sheetName val="інваліди"/>
      <sheetName val="чисельність"/>
      <sheetName val="%реакт2017-2018"/>
    </sheetNames>
    <sheetDataSet>
      <sheetData sheetId="0"/>
      <sheetData sheetId="1" refreshError="1"/>
      <sheetData sheetId="2" refreshError="1"/>
      <sheetData sheetId="3" refreshError="1"/>
      <sheetData sheetId="4">
        <row r="17">
          <cell r="L17">
            <v>2.8000000000000001E-2</v>
          </cell>
        </row>
        <row r="25">
          <cell r="J25">
            <v>3.6749999999999998</v>
          </cell>
          <cell r="K25">
            <v>35.893999999999998</v>
          </cell>
          <cell r="L25">
            <v>4.9989999999999997</v>
          </cell>
        </row>
        <row r="26">
          <cell r="J26">
            <v>3.8769999999999998</v>
          </cell>
          <cell r="K26">
            <v>29.391999999999999</v>
          </cell>
          <cell r="L26">
            <v>5.6</v>
          </cell>
        </row>
      </sheetData>
      <sheetData sheetId="5">
        <row r="17">
          <cell r="L17">
            <v>2.5000000000000001E-2</v>
          </cell>
        </row>
        <row r="25">
          <cell r="J25">
            <v>3.2629999999999999</v>
          </cell>
          <cell r="K25">
            <v>31.876999999999999</v>
          </cell>
          <cell r="L25">
            <v>3.726</v>
          </cell>
        </row>
        <row r="26">
          <cell r="J26">
            <v>3.4430000000000001</v>
          </cell>
          <cell r="K26">
            <v>26.102</v>
          </cell>
          <cell r="L26">
            <v>4.9729999999999999</v>
          </cell>
        </row>
      </sheetData>
      <sheetData sheetId="6">
        <row r="17">
          <cell r="L17">
            <v>2.1999999999999999E-2</v>
          </cell>
        </row>
        <row r="25">
          <cell r="J25">
            <v>2.879</v>
          </cell>
          <cell r="K25">
            <v>28.12</v>
          </cell>
          <cell r="L25">
            <v>2.2759999999999998</v>
          </cell>
        </row>
        <row r="26">
          <cell r="J26">
            <v>3.0379999999999998</v>
          </cell>
          <cell r="K26">
            <v>23.026</v>
          </cell>
          <cell r="L26">
            <v>4.3869999999999996</v>
          </cell>
        </row>
      </sheetData>
      <sheetData sheetId="7">
        <row r="17">
          <cell r="L17">
            <v>4.0000000000000001E-3</v>
          </cell>
        </row>
        <row r="25">
          <cell r="J25">
            <v>0.49199999999999999</v>
          </cell>
          <cell r="K25">
            <v>4.8019999999999996</v>
          </cell>
          <cell r="L25">
            <v>0</v>
          </cell>
        </row>
        <row r="26">
          <cell r="J26">
            <v>0.51900000000000002</v>
          </cell>
          <cell r="K26">
            <v>3.9319999999999999</v>
          </cell>
          <cell r="L26">
            <v>0.749</v>
          </cell>
        </row>
      </sheetData>
      <sheetData sheetId="8">
        <row r="17">
          <cell r="L17">
            <v>6.0000000000000001E-3</v>
          </cell>
        </row>
        <row r="25">
          <cell r="J25">
            <v>0.81100000000000005</v>
          </cell>
          <cell r="K25">
            <v>7.9240000000000004</v>
          </cell>
          <cell r="L25">
            <v>0</v>
          </cell>
        </row>
        <row r="26">
          <cell r="J26">
            <v>0.85599999999999998</v>
          </cell>
          <cell r="K26">
            <v>6.4880000000000004</v>
          </cell>
          <cell r="L26">
            <v>1.236</v>
          </cell>
        </row>
      </sheetData>
      <sheetData sheetId="9">
        <row r="17">
          <cell r="L17">
            <v>1.9E-2</v>
          </cell>
        </row>
        <row r="25">
          <cell r="J25">
            <v>2.4580000000000002</v>
          </cell>
          <cell r="K25">
            <v>24.010999999999999</v>
          </cell>
          <cell r="L25">
            <v>2.524</v>
          </cell>
        </row>
        <row r="26">
          <cell r="J26">
            <v>2.5939999999999999</v>
          </cell>
          <cell r="K26">
            <v>19.661999999999999</v>
          </cell>
          <cell r="L26">
            <v>3.746</v>
          </cell>
        </row>
      </sheetData>
      <sheetData sheetId="10">
        <row r="17">
          <cell r="L17">
            <v>2.5000000000000001E-2</v>
          </cell>
        </row>
        <row r="25">
          <cell r="J25">
            <v>3.302</v>
          </cell>
          <cell r="K25">
            <v>32.255000000000003</v>
          </cell>
          <cell r="L25">
            <v>3.6720000000000002</v>
          </cell>
        </row>
        <row r="26">
          <cell r="J26">
            <v>3.484</v>
          </cell>
          <cell r="K26">
            <v>26.413</v>
          </cell>
          <cell r="L26">
            <v>5.032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</sheetPr>
  <dimension ref="B1:J101"/>
  <sheetViews>
    <sheetView zoomScale="75" zoomScaleNormal="75" zoomScaleSheetLayoutView="75" workbookViewId="0">
      <selection activeCell="D21" sqref="D21:D22"/>
    </sheetView>
  </sheetViews>
  <sheetFormatPr defaultRowHeight="12.75"/>
  <cols>
    <col min="1" max="1" width="1.85546875" style="41" customWidth="1"/>
    <col min="2" max="2" width="59.7109375" style="41" customWidth="1"/>
    <col min="3" max="3" width="16.140625" style="41" customWidth="1"/>
    <col min="4" max="4" width="25" style="41" customWidth="1"/>
    <col min="5" max="5" width="21.140625" style="41" customWidth="1"/>
    <col min="6" max="6" width="22.7109375" style="41" customWidth="1"/>
    <col min="7" max="7" width="36.7109375" style="41" customWidth="1"/>
    <col min="8" max="8" width="11.85546875" style="41" customWidth="1"/>
    <col min="9" max="11" width="9.140625" style="41"/>
    <col min="12" max="12" width="37.7109375" style="41" bestFit="1" customWidth="1"/>
    <col min="13" max="16384" width="9.140625" style="41"/>
  </cols>
  <sheetData>
    <row r="1" spans="2:9" ht="18">
      <c r="B1" s="112" t="s">
        <v>236</v>
      </c>
    </row>
    <row r="2" spans="2:9" ht="15.75" customHeight="1" thickBot="1">
      <c r="B2" s="112"/>
    </row>
    <row r="3" spans="2:9" ht="30.75" thickBot="1">
      <c r="B3" s="113" t="s">
        <v>237</v>
      </c>
      <c r="C3" s="114" t="s">
        <v>238</v>
      </c>
      <c r="D3" s="115" t="s">
        <v>383</v>
      </c>
    </row>
    <row r="4" spans="2:9" ht="15">
      <c r="B4" s="35" t="s">
        <v>239</v>
      </c>
      <c r="C4" s="36"/>
      <c r="D4" s="37"/>
      <c r="E4" s="42"/>
      <c r="F4" s="42"/>
    </row>
    <row r="5" spans="2:9" s="120" customFormat="1" ht="15">
      <c r="B5" s="116" t="s">
        <v>240</v>
      </c>
      <c r="C5" s="117" t="s">
        <v>241</v>
      </c>
      <c r="D5" s="118">
        <f>SUM(D6:D8)</f>
        <v>6177.16</v>
      </c>
      <c r="E5" s="119"/>
      <c r="F5" s="119"/>
      <c r="G5" s="38"/>
    </row>
    <row r="6" spans="2:9" ht="13.5" customHeight="1">
      <c r="B6" s="121" t="s">
        <v>384</v>
      </c>
      <c r="C6" s="122" t="s">
        <v>241</v>
      </c>
      <c r="D6" s="219">
        <v>5243</v>
      </c>
      <c r="E6" s="214" t="s">
        <v>27</v>
      </c>
      <c r="F6" s="214"/>
      <c r="G6" s="38"/>
    </row>
    <row r="7" spans="2:9" ht="13.5" customHeight="1">
      <c r="B7" s="121" t="s">
        <v>385</v>
      </c>
      <c r="C7" s="122" t="s">
        <v>241</v>
      </c>
      <c r="D7" s="219">
        <v>124.16</v>
      </c>
      <c r="E7" s="119"/>
      <c r="F7" s="119"/>
      <c r="G7" s="38"/>
    </row>
    <row r="8" spans="2:9" ht="13.9" customHeight="1">
      <c r="B8" s="121" t="s">
        <v>386</v>
      </c>
      <c r="C8" s="122" t="s">
        <v>241</v>
      </c>
      <c r="D8" s="219">
        <v>810</v>
      </c>
      <c r="E8" s="119"/>
      <c r="F8" s="119"/>
      <c r="G8" s="38"/>
      <c r="I8" s="123"/>
    </row>
    <row r="9" spans="2:9" s="120" customFormat="1" ht="15">
      <c r="B9" s="116" t="s">
        <v>242</v>
      </c>
      <c r="C9" s="117" t="s">
        <v>241</v>
      </c>
      <c r="D9" s="220">
        <f>SUM(D10:D12)</f>
        <v>6295.16</v>
      </c>
      <c r="E9" s="119"/>
      <c r="F9" s="119"/>
      <c r="G9" s="124"/>
      <c r="I9" s="125"/>
    </row>
    <row r="10" spans="2:9" ht="14.25">
      <c r="B10" s="121" t="s">
        <v>384</v>
      </c>
      <c r="C10" s="122" t="s">
        <v>241</v>
      </c>
      <c r="D10" s="213">
        <v>5361</v>
      </c>
      <c r="E10" s="119"/>
      <c r="F10" s="119"/>
      <c r="G10" s="126"/>
    </row>
    <row r="11" spans="2:9" ht="14.25">
      <c r="B11" s="121" t="s">
        <v>385</v>
      </c>
      <c r="C11" s="122" t="s">
        <v>241</v>
      </c>
      <c r="D11" s="219">
        <v>124.16</v>
      </c>
      <c r="E11" s="119"/>
      <c r="F11" s="119"/>
      <c r="G11" s="127"/>
    </row>
    <row r="12" spans="2:9" ht="14.25">
      <c r="B12" s="121" t="s">
        <v>386</v>
      </c>
      <c r="C12" s="122" t="s">
        <v>241</v>
      </c>
      <c r="D12" s="219">
        <v>810</v>
      </c>
      <c r="E12" s="119"/>
      <c r="F12" s="119"/>
      <c r="G12" s="127"/>
    </row>
    <row r="13" spans="2:9" ht="30">
      <c r="B13" s="116" t="s">
        <v>243</v>
      </c>
      <c r="C13" s="117" t="s">
        <v>241</v>
      </c>
      <c r="D13" s="220">
        <f>SUM(D14:D16)</f>
        <v>6295.16</v>
      </c>
      <c r="E13" s="119"/>
      <c r="F13" s="119"/>
      <c r="G13" s="39"/>
    </row>
    <row r="14" spans="2:9" ht="14.25">
      <c r="B14" s="121" t="s">
        <v>384</v>
      </c>
      <c r="C14" s="122" t="s">
        <v>241</v>
      </c>
      <c r="D14" s="213">
        <v>5361</v>
      </c>
      <c r="E14" s="119"/>
      <c r="F14" s="119"/>
      <c r="G14" s="40"/>
    </row>
    <row r="15" spans="2:9" ht="14.25">
      <c r="B15" s="121" t="s">
        <v>385</v>
      </c>
      <c r="C15" s="122" t="s">
        <v>241</v>
      </c>
      <c r="D15" s="219">
        <v>124.16</v>
      </c>
      <c r="E15" s="119"/>
      <c r="F15" s="119"/>
      <c r="G15" s="40"/>
    </row>
    <row r="16" spans="2:9" ht="14.25">
      <c r="B16" s="121" t="s">
        <v>386</v>
      </c>
      <c r="C16" s="122" t="s">
        <v>241</v>
      </c>
      <c r="D16" s="219">
        <v>810</v>
      </c>
      <c r="E16" s="119"/>
      <c r="F16" s="119"/>
      <c r="G16" s="127"/>
    </row>
    <row r="17" spans="2:9" ht="15">
      <c r="B17" s="116" t="s">
        <v>308</v>
      </c>
      <c r="C17" s="117"/>
      <c r="D17" s="118"/>
      <c r="E17" s="119"/>
      <c r="F17" s="119"/>
      <c r="G17" s="40"/>
    </row>
    <row r="18" spans="2:9" ht="15">
      <c r="B18" s="121" t="s">
        <v>244</v>
      </c>
      <c r="C18" s="117" t="s">
        <v>245</v>
      </c>
      <c r="D18" s="220">
        <f>D19+D20</f>
        <v>46.87</v>
      </c>
      <c r="E18" s="491"/>
      <c r="F18" s="492"/>
    </row>
    <row r="19" spans="2:9" ht="14.25">
      <c r="B19" s="128" t="s">
        <v>246</v>
      </c>
      <c r="C19" s="122" t="s">
        <v>245</v>
      </c>
      <c r="D19" s="219">
        <v>19.57</v>
      </c>
      <c r="E19" s="491"/>
      <c r="F19" s="492"/>
    </row>
    <row r="20" spans="2:9" ht="14.25">
      <c r="B20" s="128" t="s">
        <v>247</v>
      </c>
      <c r="C20" s="122" t="s">
        <v>245</v>
      </c>
      <c r="D20" s="219">
        <v>27.3</v>
      </c>
      <c r="E20" s="491"/>
      <c r="F20" s="492"/>
      <c r="G20" s="129"/>
    </row>
    <row r="21" spans="2:9" s="120" customFormat="1" ht="30">
      <c r="B21" s="116" t="s">
        <v>309</v>
      </c>
      <c r="C21" s="122" t="s">
        <v>249</v>
      </c>
      <c r="D21" s="218">
        <f>'цена елен'!E13</f>
        <v>2.0483099999999999</v>
      </c>
      <c r="E21" s="197"/>
      <c r="F21" s="198"/>
      <c r="G21" s="79"/>
      <c r="H21" s="130"/>
      <c r="I21" s="176"/>
    </row>
    <row r="22" spans="2:9" s="120" customFormat="1" ht="30">
      <c r="B22" s="116" t="s">
        <v>3</v>
      </c>
      <c r="C22" s="122" t="s">
        <v>250</v>
      </c>
      <c r="D22" s="221">
        <f>'цена елен'!H13</f>
        <v>0.13247600000000001</v>
      </c>
      <c r="E22" s="197"/>
      <c r="F22" s="198"/>
      <c r="G22" s="43"/>
      <c r="H22" s="177"/>
      <c r="I22" s="176"/>
    </row>
    <row r="23" spans="2:9" s="120" customFormat="1" ht="30">
      <c r="B23" s="116" t="s">
        <v>251</v>
      </c>
      <c r="C23" s="131" t="s">
        <v>252</v>
      </c>
      <c r="D23" s="222">
        <v>0.51349999999999996</v>
      </c>
      <c r="E23" s="223" t="s">
        <v>22</v>
      </c>
      <c r="F23" s="119"/>
      <c r="G23" s="43"/>
      <c r="H23" s="130"/>
    </row>
    <row r="24" spans="2:9" s="120" customFormat="1" ht="15">
      <c r="B24" s="116"/>
      <c r="C24" s="131"/>
      <c r="D24" s="132"/>
      <c r="E24" s="42"/>
      <c r="F24" s="42"/>
      <c r="G24" s="43"/>
      <c r="H24" s="130"/>
    </row>
    <row r="25" spans="2:9" s="120" customFormat="1" ht="15">
      <c r="B25" s="116" t="s">
        <v>253</v>
      </c>
      <c r="C25" s="131" t="s">
        <v>188</v>
      </c>
      <c r="D25" s="219">
        <v>7.08</v>
      </c>
      <c r="E25" s="42"/>
      <c r="F25" s="42"/>
      <c r="G25" s="43"/>
      <c r="H25" s="130"/>
    </row>
    <row r="26" spans="2:9" s="120" customFormat="1" ht="15">
      <c r="B26" s="116" t="s">
        <v>254</v>
      </c>
      <c r="C26" s="131" t="s">
        <v>187</v>
      </c>
      <c r="D26" s="219">
        <v>18.329999999999998</v>
      </c>
      <c r="E26" s="42"/>
      <c r="F26" s="200"/>
      <c r="G26" s="43"/>
      <c r="H26" s="130"/>
    </row>
    <row r="27" spans="2:9" s="120" customFormat="1" ht="15" customHeight="1">
      <c r="B27" s="116" t="s">
        <v>255</v>
      </c>
      <c r="C27" s="131" t="s">
        <v>1</v>
      </c>
      <c r="D27" s="199">
        <v>2.153</v>
      </c>
      <c r="E27" s="119"/>
      <c r="F27" s="201"/>
      <c r="G27" s="43"/>
      <c r="H27" s="130"/>
    </row>
    <row r="28" spans="2:9" s="120" customFormat="1" ht="15.75" customHeight="1" thickBot="1">
      <c r="B28" s="116" t="s">
        <v>2</v>
      </c>
      <c r="C28" s="131" t="s">
        <v>1</v>
      </c>
      <c r="D28" s="202">
        <v>5</v>
      </c>
      <c r="E28" s="119"/>
      <c r="F28" s="201"/>
      <c r="G28" s="43"/>
      <c r="H28" s="130"/>
    </row>
    <row r="29" spans="2:9" ht="51" customHeight="1">
      <c r="B29" s="133" t="s">
        <v>256</v>
      </c>
      <c r="C29" s="134"/>
      <c r="D29" s="135" t="s">
        <v>280</v>
      </c>
      <c r="E29" s="135" t="s">
        <v>281</v>
      </c>
      <c r="F29" s="136" t="s">
        <v>257</v>
      </c>
      <c r="G29" s="43"/>
      <c r="H29" s="130"/>
      <c r="I29" s="120"/>
    </row>
    <row r="30" spans="2:9" ht="15.75">
      <c r="B30" s="137" t="s">
        <v>258</v>
      </c>
      <c r="C30" s="44" t="s">
        <v>259</v>
      </c>
      <c r="D30" s="44">
        <f>SUM(D31:D37)</f>
        <v>171</v>
      </c>
      <c r="E30" s="45">
        <f>SUM(E31:E37)</f>
        <v>176</v>
      </c>
      <c r="F30" s="44">
        <f>SUM(F31:F37)</f>
        <v>187</v>
      </c>
      <c r="G30" s="43"/>
      <c r="H30" s="130"/>
      <c r="I30" s="120"/>
    </row>
    <row r="31" spans="2:9" ht="13.5" customHeight="1">
      <c r="B31" s="138" t="s">
        <v>260</v>
      </c>
      <c r="C31" s="139" t="s">
        <v>259</v>
      </c>
      <c r="D31" s="140">
        <v>15</v>
      </c>
      <c r="E31" s="140">
        <v>15</v>
      </c>
      <c r="F31" s="139">
        <v>18</v>
      </c>
      <c r="G31" s="43"/>
      <c r="H31" s="130"/>
      <c r="I31" s="120"/>
    </row>
    <row r="32" spans="2:9" ht="13.5" customHeight="1">
      <c r="B32" s="138" t="s">
        <v>261</v>
      </c>
      <c r="C32" s="139" t="s">
        <v>259</v>
      </c>
      <c r="D32" s="139">
        <v>30</v>
      </c>
      <c r="E32" s="140">
        <v>30</v>
      </c>
      <c r="F32" s="139">
        <v>30</v>
      </c>
      <c r="G32" s="43"/>
      <c r="H32" s="130"/>
      <c r="I32" s="120"/>
    </row>
    <row r="33" spans="2:9" ht="13.5" customHeight="1">
      <c r="B33" s="138" t="s">
        <v>262</v>
      </c>
      <c r="C33" s="139" t="s">
        <v>259</v>
      </c>
      <c r="D33" s="139">
        <v>31</v>
      </c>
      <c r="E33" s="140">
        <v>31</v>
      </c>
      <c r="F33" s="139">
        <v>31</v>
      </c>
      <c r="G33" s="43"/>
      <c r="H33" s="130"/>
      <c r="I33" s="120"/>
    </row>
    <row r="34" spans="2:9" ht="13.5" customHeight="1">
      <c r="B34" s="138" t="s">
        <v>263</v>
      </c>
      <c r="C34" s="139" t="s">
        <v>259</v>
      </c>
      <c r="D34" s="139">
        <v>31</v>
      </c>
      <c r="E34" s="140">
        <v>31</v>
      </c>
      <c r="F34" s="139">
        <v>31</v>
      </c>
      <c r="G34" s="43"/>
      <c r="H34" s="130"/>
      <c r="I34" s="120"/>
    </row>
    <row r="35" spans="2:9" ht="13.5" customHeight="1">
      <c r="B35" s="138" t="s">
        <v>264</v>
      </c>
      <c r="C35" s="139" t="s">
        <v>259</v>
      </c>
      <c r="D35" s="139">
        <v>28</v>
      </c>
      <c r="E35" s="140">
        <v>28</v>
      </c>
      <c r="F35" s="139">
        <v>28</v>
      </c>
      <c r="G35" s="43"/>
      <c r="H35" s="130"/>
      <c r="I35" s="120"/>
    </row>
    <row r="36" spans="2:9" ht="15">
      <c r="B36" s="138" t="s">
        <v>265</v>
      </c>
      <c r="C36" s="139" t="s">
        <v>259</v>
      </c>
      <c r="D36" s="139">
        <v>31</v>
      </c>
      <c r="E36" s="140">
        <v>31</v>
      </c>
      <c r="F36" s="139">
        <v>31</v>
      </c>
    </row>
    <row r="37" spans="2:9" ht="15">
      <c r="B37" s="138" t="s">
        <v>266</v>
      </c>
      <c r="C37" s="139" t="s">
        <v>259</v>
      </c>
      <c r="D37" s="140">
        <v>5</v>
      </c>
      <c r="E37" s="140">
        <v>10</v>
      </c>
      <c r="F37" s="139">
        <v>18</v>
      </c>
    </row>
    <row r="38" spans="2:9" ht="15">
      <c r="B38" s="141" t="s">
        <v>258</v>
      </c>
      <c r="C38" s="46" t="s">
        <v>267</v>
      </c>
      <c r="D38" s="48">
        <f>D30/365*12</f>
        <v>5.62</v>
      </c>
      <c r="E38" s="48">
        <f>E30/365*12</f>
        <v>5.79</v>
      </c>
      <c r="F38" s="49">
        <f>F30/365*12</f>
        <v>6.15</v>
      </c>
    </row>
    <row r="39" spans="2:9" ht="30">
      <c r="B39" s="142" t="s">
        <v>268</v>
      </c>
      <c r="C39" s="46" t="s">
        <v>269</v>
      </c>
      <c r="D39" s="47">
        <v>18</v>
      </c>
      <c r="E39" s="47">
        <v>18</v>
      </c>
      <c r="F39" s="47">
        <v>18</v>
      </c>
    </row>
    <row r="40" spans="2:9" ht="30.75" thickBot="1">
      <c r="B40" s="142" t="s">
        <v>270</v>
      </c>
      <c r="C40" s="46" t="s">
        <v>269</v>
      </c>
      <c r="D40" s="47">
        <v>-22</v>
      </c>
      <c r="E40" s="47">
        <v>-22</v>
      </c>
      <c r="F40" s="46">
        <v>-22</v>
      </c>
    </row>
    <row r="41" spans="2:9" ht="48.75" customHeight="1">
      <c r="B41" s="133" t="s">
        <v>256</v>
      </c>
      <c r="C41" s="134"/>
      <c r="D41" s="135" t="s">
        <v>280</v>
      </c>
      <c r="E41" s="135" t="s">
        <v>281</v>
      </c>
      <c r="F41" s="136" t="s">
        <v>257</v>
      </c>
    </row>
    <row r="42" spans="2:9" s="147" customFormat="1" ht="31.5">
      <c r="B42" s="143" t="s">
        <v>271</v>
      </c>
      <c r="C42" s="144" t="s">
        <v>269</v>
      </c>
      <c r="D42" s="145">
        <v>0.1</v>
      </c>
      <c r="E42" s="145">
        <v>-0.1</v>
      </c>
      <c r="F42" s="146">
        <v>-1.1000000000000001</v>
      </c>
    </row>
    <row r="43" spans="2:9" ht="15">
      <c r="B43" s="138" t="s">
        <v>260</v>
      </c>
      <c r="C43" s="139" t="s">
        <v>269</v>
      </c>
      <c r="D43" s="148">
        <v>6</v>
      </c>
      <c r="E43" s="148">
        <v>8.1</v>
      </c>
      <c r="F43" s="149">
        <v>7.5</v>
      </c>
    </row>
    <row r="44" spans="2:9" ht="15">
      <c r="B44" s="138" t="s">
        <v>261</v>
      </c>
      <c r="C44" s="139" t="s">
        <v>269</v>
      </c>
      <c r="D44" s="148">
        <v>2</v>
      </c>
      <c r="E44" s="148">
        <v>3</v>
      </c>
      <c r="F44" s="149">
        <v>1.2</v>
      </c>
    </row>
    <row r="45" spans="2:9" ht="15">
      <c r="B45" s="138" t="s">
        <v>262</v>
      </c>
      <c r="C45" s="139" t="s">
        <v>269</v>
      </c>
      <c r="D45" s="148">
        <v>-0.7</v>
      </c>
      <c r="E45" s="148">
        <v>-1.5</v>
      </c>
      <c r="F45" s="149">
        <v>-3.5</v>
      </c>
    </row>
    <row r="46" spans="2:9" ht="15">
      <c r="B46" s="138" t="s">
        <v>263</v>
      </c>
      <c r="C46" s="139" t="s">
        <v>269</v>
      </c>
      <c r="D46" s="148">
        <v>-4</v>
      </c>
      <c r="E46" s="148">
        <v>-3.7</v>
      </c>
      <c r="F46" s="149">
        <v>-5.9</v>
      </c>
    </row>
    <row r="47" spans="2:9" ht="15">
      <c r="B47" s="138" t="s">
        <v>264</v>
      </c>
      <c r="C47" s="139" t="s">
        <v>269</v>
      </c>
      <c r="D47" s="148">
        <v>-1.6</v>
      </c>
      <c r="E47" s="148">
        <v>-2.6</v>
      </c>
      <c r="F47" s="149">
        <v>-5.2</v>
      </c>
    </row>
    <row r="48" spans="2:9" ht="15">
      <c r="B48" s="138" t="s">
        <v>265</v>
      </c>
      <c r="C48" s="139" t="s">
        <v>269</v>
      </c>
      <c r="D48" s="148">
        <v>3.7</v>
      </c>
      <c r="E48" s="148">
        <v>1</v>
      </c>
      <c r="F48" s="149">
        <v>-0.4</v>
      </c>
    </row>
    <row r="49" spans="2:10" ht="15.75" thickBot="1">
      <c r="B49" s="150" t="s">
        <v>266</v>
      </c>
      <c r="C49" s="151" t="s">
        <v>269</v>
      </c>
      <c r="D49" s="152">
        <v>6.4</v>
      </c>
      <c r="E49" s="152">
        <v>9</v>
      </c>
      <c r="F49" s="153">
        <v>7.5</v>
      </c>
    </row>
    <row r="50" spans="2:10" s="147" customFormat="1" ht="32.25" thickBot="1">
      <c r="B50" s="154" t="s">
        <v>272</v>
      </c>
      <c r="C50" s="155" t="s">
        <v>273</v>
      </c>
      <c r="D50" s="156">
        <v>24</v>
      </c>
      <c r="E50" s="156">
        <v>24</v>
      </c>
      <c r="F50" s="156">
        <v>24</v>
      </c>
    </row>
    <row r="51" spans="2:10" s="147" customFormat="1" ht="51.75" customHeight="1">
      <c r="B51" s="157" t="s">
        <v>282</v>
      </c>
      <c r="C51" s="158"/>
      <c r="D51" s="196">
        <f>SUM(D52:D58)</f>
        <v>1783.08</v>
      </c>
      <c r="E51" s="196">
        <f>SUM(E52:E58)</f>
        <v>1841.7</v>
      </c>
      <c r="F51" s="196">
        <f>SUM(F52:F58)</f>
        <v>2105.64</v>
      </c>
    </row>
    <row r="52" spans="2:10" s="147" customFormat="1" ht="15">
      <c r="B52" s="138" t="s">
        <v>260</v>
      </c>
      <c r="C52" s="139"/>
      <c r="D52" s="193">
        <f>(($D$39-D43)/($D$39-$D$40))*D31*$D$50</f>
        <v>108</v>
      </c>
      <c r="E52" s="193">
        <f>(($E$39-E43)/($E$39-$E$40))*E31*$E$50</f>
        <v>89.1</v>
      </c>
      <c r="F52" s="193">
        <f>(($F$39-F43)/($F$39-$F$40))*F31*$F$50</f>
        <v>113.4</v>
      </c>
    </row>
    <row r="53" spans="2:10" s="147" customFormat="1" ht="15">
      <c r="B53" s="138" t="s">
        <v>261</v>
      </c>
      <c r="C53" s="139"/>
      <c r="D53" s="193">
        <f t="shared" ref="D53:D58" si="0">(($D$39-D44)/($D$39-$D$40))*D32*$D$50</f>
        <v>288</v>
      </c>
      <c r="E53" s="193">
        <f t="shared" ref="E53:E58" si="1">(($E$39-E44)/($E$39-$E$40))*E32*$E$50</f>
        <v>270</v>
      </c>
      <c r="F53" s="193">
        <f t="shared" ref="F53:F58" si="2">(($F$39-F44)/($F$39-$F$40))*F32*$F$50</f>
        <v>302.39999999999998</v>
      </c>
    </row>
    <row r="54" spans="2:10" s="147" customFormat="1" ht="15">
      <c r="B54" s="138" t="s">
        <v>262</v>
      </c>
      <c r="C54" s="139"/>
      <c r="D54" s="193">
        <f t="shared" si="0"/>
        <v>347.82</v>
      </c>
      <c r="E54" s="193">
        <f t="shared" si="1"/>
        <v>362.7</v>
      </c>
      <c r="F54" s="193">
        <f t="shared" si="2"/>
        <v>399.9</v>
      </c>
    </row>
    <row r="55" spans="2:10" s="147" customFormat="1" ht="15">
      <c r="B55" s="138" t="s">
        <v>263</v>
      </c>
      <c r="C55" s="139"/>
      <c r="D55" s="193">
        <f t="shared" si="0"/>
        <v>409.2</v>
      </c>
      <c r="E55" s="193">
        <f t="shared" si="1"/>
        <v>403.62</v>
      </c>
      <c r="F55" s="193">
        <f t="shared" si="2"/>
        <v>444.54</v>
      </c>
    </row>
    <row r="56" spans="2:10" s="147" customFormat="1" ht="15">
      <c r="B56" s="138" t="s">
        <v>264</v>
      </c>
      <c r="C56" s="139"/>
      <c r="D56" s="193">
        <f t="shared" si="0"/>
        <v>329.28</v>
      </c>
      <c r="E56" s="193">
        <f t="shared" si="1"/>
        <v>346.08</v>
      </c>
      <c r="F56" s="193">
        <f t="shared" si="2"/>
        <v>389.76</v>
      </c>
      <c r="I56" s="159"/>
    </row>
    <row r="57" spans="2:10" s="147" customFormat="1" ht="15">
      <c r="B57" s="138" t="s">
        <v>265</v>
      </c>
      <c r="C57" s="139"/>
      <c r="D57" s="193">
        <f t="shared" si="0"/>
        <v>265.98</v>
      </c>
      <c r="E57" s="193">
        <f t="shared" si="1"/>
        <v>316.2</v>
      </c>
      <c r="F57" s="193">
        <f t="shared" si="2"/>
        <v>342.24</v>
      </c>
    </row>
    <row r="58" spans="2:10" s="147" customFormat="1" ht="17.25" customHeight="1" thickBot="1">
      <c r="B58" s="160" t="s">
        <v>266</v>
      </c>
      <c r="C58" s="161"/>
      <c r="D58" s="194">
        <f t="shared" si="0"/>
        <v>34.799999999999997</v>
      </c>
      <c r="E58" s="194">
        <f t="shared" si="1"/>
        <v>54</v>
      </c>
      <c r="F58" s="194">
        <f t="shared" si="2"/>
        <v>113.4</v>
      </c>
    </row>
    <row r="59" spans="2:10" s="147" customFormat="1" ht="17.25" customHeight="1" thickBot="1">
      <c r="B59" s="162"/>
      <c r="C59" s="163"/>
      <c r="D59" s="195"/>
      <c r="E59" s="195"/>
      <c r="F59" s="195"/>
    </row>
    <row r="60" spans="2:10" s="120" customFormat="1" ht="15.75">
      <c r="B60" s="164"/>
      <c r="C60" s="158"/>
      <c r="D60" s="50"/>
      <c r="E60" s="60"/>
      <c r="F60" s="61"/>
      <c r="G60" s="127"/>
      <c r="J60" s="130"/>
    </row>
    <row r="61" spans="2:10" ht="15.75">
      <c r="B61" s="165" t="s">
        <v>274</v>
      </c>
      <c r="C61" s="166"/>
      <c r="D61" s="167"/>
      <c r="E61" s="168"/>
      <c r="F61" s="169"/>
    </row>
    <row r="62" spans="2:10" ht="15">
      <c r="B62" s="170" t="s">
        <v>275</v>
      </c>
      <c r="C62" s="170"/>
      <c r="D62" s="166">
        <v>251</v>
      </c>
      <c r="E62" s="168" t="s">
        <v>25</v>
      </c>
      <c r="F62" s="169"/>
    </row>
    <row r="63" spans="2:10" ht="15">
      <c r="B63" s="170" t="s">
        <v>276</v>
      </c>
      <c r="C63" s="170"/>
      <c r="D63" s="166">
        <v>2002</v>
      </c>
      <c r="E63" s="168" t="s">
        <v>26</v>
      </c>
      <c r="F63" s="169"/>
    </row>
    <row r="64" spans="2:10" ht="44.25" customHeight="1">
      <c r="B64" s="170" t="s">
        <v>277</v>
      </c>
      <c r="C64" s="166" t="s">
        <v>248</v>
      </c>
      <c r="D64" s="457">
        <v>0.22</v>
      </c>
      <c r="E64" s="493" t="s">
        <v>278</v>
      </c>
      <c r="F64" s="494"/>
    </row>
    <row r="65" spans="2:6" ht="15.75" thickBot="1">
      <c r="B65" s="171" t="s">
        <v>279</v>
      </c>
      <c r="C65" s="172" t="s">
        <v>248</v>
      </c>
      <c r="D65" s="458">
        <v>8.4099999999999994E-2</v>
      </c>
      <c r="E65" s="495"/>
      <c r="F65" s="496"/>
    </row>
    <row r="67" spans="2:6" ht="13.5" customHeight="1"/>
    <row r="68" spans="2:6" ht="15">
      <c r="B68" s="109" t="s">
        <v>102</v>
      </c>
    </row>
    <row r="70" spans="2:6" ht="15">
      <c r="B70" s="173" t="s">
        <v>391</v>
      </c>
    </row>
    <row r="72" spans="2:6" ht="15">
      <c r="B72" s="41" t="s">
        <v>392</v>
      </c>
    </row>
    <row r="74" spans="2:6" ht="15">
      <c r="B74" s="41" t="s">
        <v>393</v>
      </c>
    </row>
    <row r="101" spans="10:10">
      <c r="J101" s="174"/>
    </row>
  </sheetData>
  <mergeCells count="2">
    <mergeCell ref="E18:F20"/>
    <mergeCell ref="E64:F65"/>
  </mergeCells>
  <phoneticPr fontId="2" type="noConversion"/>
  <pageMargins left="0.67" right="0.38" top="0.21" bottom="0.21" header="0.18" footer="0.23"/>
  <pageSetup paperSize="9" scale="51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0"/>
  </sheetPr>
  <dimension ref="A2:Y48"/>
  <sheetViews>
    <sheetView topLeftCell="E1" zoomScale="75" zoomScaleNormal="75" workbookViewId="0">
      <selection activeCell="M40" sqref="M40"/>
    </sheetView>
  </sheetViews>
  <sheetFormatPr defaultRowHeight="12.75"/>
  <cols>
    <col min="1" max="1" width="4.42578125" style="181" customWidth="1"/>
    <col min="2" max="2" width="41.140625" style="181" customWidth="1"/>
    <col min="3" max="3" width="12.85546875" style="2" customWidth="1"/>
    <col min="4" max="4" width="12.140625" style="181" customWidth="1"/>
    <col min="5" max="5" width="11" style="181" customWidth="1"/>
    <col min="6" max="6" width="11.5703125" style="181" customWidth="1"/>
    <col min="7" max="7" width="15.42578125" style="181" customWidth="1"/>
    <col min="8" max="8" width="11.140625" style="186" customWidth="1"/>
    <col min="9" max="9" width="10.140625" style="2" customWidth="1"/>
    <col min="10" max="12" width="12.85546875" style="2" customWidth="1"/>
    <col min="13" max="13" width="15.5703125" style="2" customWidth="1"/>
    <col min="14" max="14" width="12.140625" style="181" customWidth="1"/>
    <col min="15" max="15" width="13.140625" style="181" customWidth="1"/>
    <col min="16" max="16" width="11.5703125" style="181" customWidth="1"/>
    <col min="17" max="17" width="19.42578125" style="2" customWidth="1"/>
    <col min="18" max="18" width="11.5703125" style="181" customWidth="1"/>
    <col min="19" max="19" width="11.28515625" style="181" customWidth="1"/>
    <col min="20" max="20" width="12.140625" style="181" customWidth="1"/>
    <col min="21" max="21" width="19.5703125" style="2" customWidth="1"/>
    <col min="22" max="22" width="12.42578125" style="181" customWidth="1"/>
    <col min="23" max="23" width="11.42578125" style="181" customWidth="1"/>
    <col min="24" max="24" width="11.7109375" style="181" customWidth="1"/>
    <col min="25" max="25" width="15.5703125" style="2" customWidth="1"/>
    <col min="26" max="26" width="12.28515625" style="181" customWidth="1"/>
    <col min="27" max="27" width="10.85546875" style="181" customWidth="1"/>
    <col min="28" max="28" width="11.140625" style="181" customWidth="1"/>
    <col min="29" max="16384" width="9.140625" style="181"/>
  </cols>
  <sheetData>
    <row r="2" spans="1:25" ht="18">
      <c r="C2" s="528" t="s">
        <v>311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1:25" ht="18">
      <c r="C3" s="528" t="s">
        <v>170</v>
      </c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</row>
    <row r="4" spans="1:25" ht="21" customHeight="1">
      <c r="J4" s="3" t="s">
        <v>312</v>
      </c>
      <c r="K4" s="65"/>
      <c r="L4" s="65"/>
      <c r="M4" s="64"/>
      <c r="N4" s="62">
        <v>29</v>
      </c>
      <c r="O4" s="3" t="s">
        <v>313</v>
      </c>
    </row>
    <row r="5" spans="1:25" ht="15.75">
      <c r="A5" s="54"/>
      <c r="B5" s="54"/>
      <c r="C5" s="54"/>
      <c r="D5" s="54"/>
      <c r="E5" s="54"/>
      <c r="F5" s="54"/>
      <c r="G5" s="547" t="s">
        <v>314</v>
      </c>
      <c r="H5" s="547"/>
      <c r="I5" s="547"/>
      <c r="J5" s="547"/>
      <c r="K5" s="547"/>
      <c r="L5" s="547"/>
      <c r="M5" s="547"/>
      <c r="N5" s="62">
        <v>24</v>
      </c>
      <c r="O5" s="63" t="s">
        <v>313</v>
      </c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5" ht="13.5" thickBot="1"/>
    <row r="7" spans="1:25" s="3" customFormat="1" ht="15" customHeight="1">
      <c r="A7" s="508" t="s">
        <v>179</v>
      </c>
      <c r="B7" s="508" t="s">
        <v>235</v>
      </c>
      <c r="C7" s="508" t="s">
        <v>307</v>
      </c>
      <c r="D7" s="548" t="s">
        <v>284</v>
      </c>
      <c r="E7" s="548" t="s">
        <v>285</v>
      </c>
      <c r="F7" s="548" t="s">
        <v>286</v>
      </c>
      <c r="G7" s="551" t="s">
        <v>315</v>
      </c>
      <c r="H7" s="558" t="s">
        <v>316</v>
      </c>
      <c r="I7" s="556" t="s">
        <v>304</v>
      </c>
      <c r="J7" s="554" t="s">
        <v>284</v>
      </c>
      <c r="K7" s="554" t="s">
        <v>285</v>
      </c>
      <c r="L7" s="554" t="s">
        <v>286</v>
      </c>
      <c r="M7" s="556" t="s">
        <v>310</v>
      </c>
      <c r="N7" s="554" t="s">
        <v>284</v>
      </c>
      <c r="O7" s="554" t="s">
        <v>285</v>
      </c>
      <c r="P7" s="554" t="s">
        <v>286</v>
      </c>
      <c r="Q7" s="556" t="s">
        <v>305</v>
      </c>
      <c r="R7" s="556" t="s">
        <v>306</v>
      </c>
      <c r="S7" s="554" t="s">
        <v>284</v>
      </c>
      <c r="T7" s="554" t="s">
        <v>285</v>
      </c>
      <c r="U7" s="554" t="s">
        <v>286</v>
      </c>
    </row>
    <row r="8" spans="1:25" s="3" customFormat="1" ht="13.5" customHeight="1">
      <c r="A8" s="509"/>
      <c r="B8" s="509"/>
      <c r="C8" s="509"/>
      <c r="D8" s="549"/>
      <c r="E8" s="549"/>
      <c r="F8" s="549"/>
      <c r="G8" s="552"/>
      <c r="H8" s="559"/>
      <c r="I8" s="557"/>
      <c r="J8" s="555"/>
      <c r="K8" s="555"/>
      <c r="L8" s="555"/>
      <c r="M8" s="557"/>
      <c r="N8" s="555"/>
      <c r="O8" s="555"/>
      <c r="P8" s="555"/>
      <c r="Q8" s="557"/>
      <c r="R8" s="557"/>
      <c r="S8" s="555"/>
      <c r="T8" s="555"/>
      <c r="U8" s="555"/>
    </row>
    <row r="9" spans="1:25" s="3" customFormat="1" ht="15" customHeight="1">
      <c r="A9" s="509"/>
      <c r="B9" s="509"/>
      <c r="C9" s="509"/>
      <c r="D9" s="549"/>
      <c r="E9" s="549"/>
      <c r="F9" s="549"/>
      <c r="G9" s="552"/>
      <c r="H9" s="559"/>
      <c r="I9" s="557"/>
      <c r="J9" s="555"/>
      <c r="K9" s="555"/>
      <c r="L9" s="555"/>
      <c r="M9" s="557"/>
      <c r="N9" s="555"/>
      <c r="O9" s="555"/>
      <c r="P9" s="555"/>
      <c r="Q9" s="557"/>
      <c r="R9" s="557"/>
      <c r="S9" s="555"/>
      <c r="T9" s="555"/>
      <c r="U9" s="555"/>
    </row>
    <row r="10" spans="1:25" s="3" customFormat="1" ht="15" customHeight="1">
      <c r="A10" s="509"/>
      <c r="B10" s="509"/>
      <c r="C10" s="509"/>
      <c r="D10" s="549"/>
      <c r="E10" s="549"/>
      <c r="F10" s="549"/>
      <c r="G10" s="552"/>
      <c r="H10" s="559"/>
      <c r="I10" s="557"/>
      <c r="J10" s="555"/>
      <c r="K10" s="555"/>
      <c r="L10" s="555"/>
      <c r="M10" s="557"/>
      <c r="N10" s="555"/>
      <c r="O10" s="555"/>
      <c r="P10" s="555"/>
      <c r="Q10" s="557"/>
      <c r="R10" s="557"/>
      <c r="S10" s="555"/>
      <c r="T10" s="555"/>
      <c r="U10" s="555"/>
    </row>
    <row r="11" spans="1:25" s="3" customFormat="1" ht="12.75" customHeight="1">
      <c r="A11" s="509"/>
      <c r="B11" s="509"/>
      <c r="C11" s="509"/>
      <c r="D11" s="549"/>
      <c r="E11" s="549"/>
      <c r="F11" s="549"/>
      <c r="G11" s="552"/>
      <c r="H11" s="559"/>
      <c r="I11" s="557"/>
      <c r="J11" s="555"/>
      <c r="K11" s="555"/>
      <c r="L11" s="555"/>
      <c r="M11" s="557"/>
      <c r="N11" s="555"/>
      <c r="O11" s="555"/>
      <c r="P11" s="555"/>
      <c r="Q11" s="557"/>
      <c r="R11" s="557"/>
      <c r="S11" s="555"/>
      <c r="T11" s="555"/>
      <c r="U11" s="555"/>
    </row>
    <row r="12" spans="1:25" s="3" customFormat="1" ht="15.75" customHeight="1" thickBot="1">
      <c r="A12" s="510"/>
      <c r="B12" s="510"/>
      <c r="C12" s="510"/>
      <c r="D12" s="550"/>
      <c r="E12" s="550"/>
      <c r="F12" s="550"/>
      <c r="G12" s="553"/>
      <c r="H12" s="559"/>
      <c r="I12" s="557"/>
      <c r="J12" s="555"/>
      <c r="K12" s="555"/>
      <c r="L12" s="555"/>
      <c r="M12" s="557"/>
      <c r="N12" s="555"/>
      <c r="O12" s="555"/>
      <c r="P12" s="555"/>
      <c r="Q12" s="557"/>
      <c r="R12" s="557"/>
      <c r="S12" s="555"/>
      <c r="T12" s="555"/>
      <c r="U12" s="555"/>
    </row>
    <row r="13" spans="1:25" s="3" customFormat="1" ht="16.5" thickBo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21</v>
      </c>
      <c r="R13" s="52">
        <v>25</v>
      </c>
      <c r="S13" s="6">
        <v>26</v>
      </c>
      <c r="T13" s="6">
        <v>27</v>
      </c>
      <c r="U13" s="6">
        <v>28</v>
      </c>
    </row>
    <row r="14" spans="1:25" s="3" customFormat="1" ht="15.75">
      <c r="A14" s="16">
        <v>1</v>
      </c>
      <c r="B14" s="17" t="s">
        <v>216</v>
      </c>
      <c r="C14" s="92">
        <f>D14+E14+F14</f>
        <v>42.795000000000002</v>
      </c>
      <c r="D14" s="20">
        <f>'[3]Річна потреба ТЕ на опалення'!Q13</f>
        <v>0</v>
      </c>
      <c r="E14" s="20">
        <f>'[3]Річна потреба ТЕ на опалення'!U13</f>
        <v>42.795000000000002</v>
      </c>
      <c r="F14" s="20">
        <f>'[3]Річна потреба ТЕ на опалення'!S13</f>
        <v>0</v>
      </c>
      <c r="G14" s="20">
        <v>60</v>
      </c>
      <c r="H14" s="23">
        <v>6.0000000000000001E-3</v>
      </c>
      <c r="I14" s="66">
        <f>M14-C14</f>
        <v>0.25800000000000001</v>
      </c>
      <c r="J14" s="23">
        <f>N14-D14</f>
        <v>0</v>
      </c>
      <c r="K14" s="23">
        <f>O14-E14</f>
        <v>0.25800000000000001</v>
      </c>
      <c r="L14" s="23">
        <f>P14-F14</f>
        <v>0</v>
      </c>
      <c r="M14" s="66">
        <f>C14/(100%-$H$14)</f>
        <v>43.052999999999997</v>
      </c>
      <c r="N14" s="23">
        <f>D14/(100%-H14)</f>
        <v>0</v>
      </c>
      <c r="O14" s="23">
        <f>E14/(100%-H14)</f>
        <v>43.052999999999997</v>
      </c>
      <c r="P14" s="23">
        <f>F14/(100%-H14)</f>
        <v>0</v>
      </c>
      <c r="Q14" s="66">
        <f t="shared" ref="Q14:Q34" si="0">R14-M14</f>
        <v>0.96799999999999997</v>
      </c>
      <c r="R14" s="66">
        <f>(C14+I14)/(100%-2.2%)</f>
        <v>44.021000000000001</v>
      </c>
      <c r="S14" s="23">
        <f>(D14+J14)/(100%-2.2%)</f>
        <v>0</v>
      </c>
      <c r="T14" s="23">
        <f>(E14+K14)/(100%-2.2%)</f>
        <v>44.021000000000001</v>
      </c>
      <c r="U14" s="23">
        <f>(F14+L14)/(100%-2.2%)</f>
        <v>0</v>
      </c>
      <c r="V14" s="33">
        <f>R14-S14-T14-U14</f>
        <v>0</v>
      </c>
    </row>
    <row r="15" spans="1:25" s="3" customFormat="1" ht="15.75">
      <c r="A15" s="16">
        <v>2</v>
      </c>
      <c r="B15" s="21" t="s">
        <v>189</v>
      </c>
      <c r="C15" s="92">
        <f t="shared" ref="C15:C34" si="1">D15+E15+F15</f>
        <v>22.222999999999999</v>
      </c>
      <c r="D15" s="20">
        <f>'[3]Річна потреба ТЕ на опалення'!Q14</f>
        <v>0</v>
      </c>
      <c r="E15" s="20">
        <f>'[3]Річна потреба ТЕ на опалення'!U14+'[3]Річна потреба ТЕ на опалення'!U15</f>
        <v>22.222999999999999</v>
      </c>
      <c r="F15" s="20">
        <f>'[3]Річна потреба ТЕ на опалення'!S14</f>
        <v>0</v>
      </c>
      <c r="G15" s="23"/>
      <c r="H15" s="23"/>
      <c r="I15" s="66">
        <f t="shared" ref="I15:L34" si="2">M15-C15</f>
        <v>0</v>
      </c>
      <c r="J15" s="23">
        <f t="shared" si="2"/>
        <v>0</v>
      </c>
      <c r="K15" s="23">
        <f t="shared" si="2"/>
        <v>0</v>
      </c>
      <c r="L15" s="23">
        <f t="shared" si="2"/>
        <v>0</v>
      </c>
      <c r="M15" s="66">
        <f t="shared" ref="M15:M34" si="3">C15/(100%-H15)</f>
        <v>22.222999999999999</v>
      </c>
      <c r="N15" s="23">
        <f t="shared" ref="N15:N34" si="4">D15/(100%-H15)</f>
        <v>0</v>
      </c>
      <c r="O15" s="23">
        <f t="shared" ref="O15:O34" si="5">E15/(100%-H15)</f>
        <v>22.222999999999999</v>
      </c>
      <c r="P15" s="23">
        <f t="shared" ref="P15:P34" si="6">F15/(100%-H15)</f>
        <v>0</v>
      </c>
      <c r="Q15" s="66">
        <f t="shared" si="0"/>
        <v>0.5</v>
      </c>
      <c r="R15" s="66">
        <f t="shared" ref="R15:U34" si="7">(C15+I15)/(100%-2.2%)</f>
        <v>22.722999999999999</v>
      </c>
      <c r="S15" s="23">
        <f t="shared" si="7"/>
        <v>0</v>
      </c>
      <c r="T15" s="23">
        <f t="shared" si="7"/>
        <v>22.722999999999999</v>
      </c>
      <c r="U15" s="23">
        <f t="shared" si="7"/>
        <v>0</v>
      </c>
      <c r="V15" s="33">
        <f t="shared" ref="V15:V35" si="8">R15-S15-T15-U15</f>
        <v>0</v>
      </c>
    </row>
    <row r="16" spans="1:25" s="3" customFormat="1" ht="15.75">
      <c r="A16" s="22">
        <v>3</v>
      </c>
      <c r="B16" s="21" t="s">
        <v>217</v>
      </c>
      <c r="C16" s="92">
        <f t="shared" si="1"/>
        <v>53.048999999999999</v>
      </c>
      <c r="D16" s="20">
        <f>'[3]Річна потреба ТЕ на опалення'!Q15</f>
        <v>0</v>
      </c>
      <c r="E16" s="20">
        <f>'[3]Річна потреба ТЕ на опалення'!U16</f>
        <v>53.048999999999999</v>
      </c>
      <c r="F16" s="20">
        <f>'[3]Річна потреба ТЕ на опалення'!S15</f>
        <v>0</v>
      </c>
      <c r="G16" s="93">
        <v>42</v>
      </c>
      <c r="H16" s="93">
        <v>4.0000000000000001E-3</v>
      </c>
      <c r="I16" s="66">
        <f t="shared" si="2"/>
        <v>0.21299999999999999</v>
      </c>
      <c r="J16" s="23">
        <f t="shared" si="2"/>
        <v>0</v>
      </c>
      <c r="K16" s="23">
        <f t="shared" si="2"/>
        <v>0.21299999999999999</v>
      </c>
      <c r="L16" s="23">
        <f t="shared" si="2"/>
        <v>0</v>
      </c>
      <c r="M16" s="66">
        <f t="shared" si="3"/>
        <v>53.262</v>
      </c>
      <c r="N16" s="23">
        <f t="shared" si="4"/>
        <v>0</v>
      </c>
      <c r="O16" s="23">
        <f t="shared" si="5"/>
        <v>53.262</v>
      </c>
      <c r="P16" s="23">
        <f t="shared" si="6"/>
        <v>0</v>
      </c>
      <c r="Q16" s="66">
        <f t="shared" si="0"/>
        <v>1.198</v>
      </c>
      <c r="R16" s="66">
        <f t="shared" si="7"/>
        <v>54.46</v>
      </c>
      <c r="S16" s="23">
        <f t="shared" si="7"/>
        <v>0</v>
      </c>
      <c r="T16" s="23">
        <f t="shared" si="7"/>
        <v>54.46</v>
      </c>
      <c r="U16" s="23">
        <f t="shared" si="7"/>
        <v>0</v>
      </c>
      <c r="V16" s="33">
        <f t="shared" si="8"/>
        <v>0</v>
      </c>
    </row>
    <row r="17" spans="1:22" s="3" customFormat="1" ht="15.75">
      <c r="A17" s="72">
        <v>4</v>
      </c>
      <c r="B17" s="76" t="s">
        <v>218</v>
      </c>
      <c r="C17" s="94">
        <f t="shared" si="1"/>
        <v>12.545</v>
      </c>
      <c r="D17" s="20">
        <f>'[3]Річна потреба ТЕ на опалення'!T17</f>
        <v>0</v>
      </c>
      <c r="E17" s="20">
        <f>'[3]Річна потреба ТЕ на опалення'!U17</f>
        <v>0</v>
      </c>
      <c r="F17" s="20">
        <f>'[3]Річна потреба ТЕ на опалення'!V17</f>
        <v>12.545</v>
      </c>
      <c r="G17" s="96">
        <f>0.02*1000</f>
        <v>20</v>
      </c>
      <c r="H17" s="205">
        <f>G17/100*1%</f>
        <v>2E-3</v>
      </c>
      <c r="I17" s="97">
        <f t="shared" si="2"/>
        <v>2.5000000000000001E-2</v>
      </c>
      <c r="J17" s="96">
        <f t="shared" si="2"/>
        <v>0</v>
      </c>
      <c r="K17" s="96">
        <f t="shared" si="2"/>
        <v>0</v>
      </c>
      <c r="L17" s="96">
        <f>P17-F17</f>
        <v>2.5000000000000001E-2</v>
      </c>
      <c r="M17" s="97">
        <f t="shared" si="3"/>
        <v>12.57</v>
      </c>
      <c r="N17" s="96">
        <f t="shared" si="4"/>
        <v>0</v>
      </c>
      <c r="O17" s="96">
        <f t="shared" si="5"/>
        <v>0</v>
      </c>
      <c r="P17" s="96">
        <f t="shared" si="6"/>
        <v>12.57</v>
      </c>
      <c r="Q17" s="66">
        <f t="shared" si="0"/>
        <v>0.28299999999999997</v>
      </c>
      <c r="R17" s="66">
        <f t="shared" si="7"/>
        <v>12.853</v>
      </c>
      <c r="S17" s="23">
        <f t="shared" si="7"/>
        <v>0</v>
      </c>
      <c r="T17" s="23">
        <f t="shared" si="7"/>
        <v>0</v>
      </c>
      <c r="U17" s="23">
        <f t="shared" si="7"/>
        <v>12.853</v>
      </c>
      <c r="V17" s="33">
        <f t="shared" si="8"/>
        <v>0</v>
      </c>
    </row>
    <row r="18" spans="1:22" s="3" customFormat="1" ht="15.75">
      <c r="A18" s="22">
        <v>5</v>
      </c>
      <c r="B18" s="21" t="s">
        <v>359</v>
      </c>
      <c r="C18" s="92">
        <f t="shared" si="1"/>
        <v>66.67</v>
      </c>
      <c r="D18" s="20">
        <f>'[3]Річна потреба ТЕ на опалення'!Q17</f>
        <v>0</v>
      </c>
      <c r="E18" s="20">
        <f>'[3]Річна потреба ТЕ на опалення'!U18</f>
        <v>66.67</v>
      </c>
      <c r="F18" s="20">
        <v>0</v>
      </c>
      <c r="G18" s="93">
        <f>0.07*1000</f>
        <v>70</v>
      </c>
      <c r="H18" s="206">
        <f>G18/100*1%</f>
        <v>7.0000000000000001E-3</v>
      </c>
      <c r="I18" s="66">
        <f t="shared" si="2"/>
        <v>0.47</v>
      </c>
      <c r="J18" s="23">
        <f t="shared" si="2"/>
        <v>0</v>
      </c>
      <c r="K18" s="23">
        <f t="shared" si="2"/>
        <v>0.47</v>
      </c>
      <c r="L18" s="23">
        <f t="shared" si="2"/>
        <v>0</v>
      </c>
      <c r="M18" s="66">
        <f t="shared" si="3"/>
        <v>67.14</v>
      </c>
      <c r="N18" s="23">
        <f t="shared" si="4"/>
        <v>0</v>
      </c>
      <c r="O18" s="23">
        <f t="shared" si="5"/>
        <v>67.14</v>
      </c>
      <c r="P18" s="23">
        <f t="shared" si="6"/>
        <v>0</v>
      </c>
      <c r="Q18" s="66">
        <f t="shared" si="0"/>
        <v>1.51</v>
      </c>
      <c r="R18" s="66">
        <f t="shared" si="7"/>
        <v>68.650000000000006</v>
      </c>
      <c r="S18" s="23">
        <f t="shared" si="7"/>
        <v>0</v>
      </c>
      <c r="T18" s="23">
        <f t="shared" si="7"/>
        <v>68.650000000000006</v>
      </c>
      <c r="U18" s="23">
        <f t="shared" si="7"/>
        <v>0</v>
      </c>
      <c r="V18" s="33">
        <f t="shared" si="8"/>
        <v>0</v>
      </c>
    </row>
    <row r="19" spans="1:22" s="3" customFormat="1" ht="15.75">
      <c r="A19" s="22">
        <v>6</v>
      </c>
      <c r="B19" s="21" t="s">
        <v>190</v>
      </c>
      <c r="C19" s="92">
        <f t="shared" si="1"/>
        <v>28.675000000000001</v>
      </c>
      <c r="D19" s="20">
        <f>'[3]Річна потреба ТЕ на опалення'!Q18</f>
        <v>0</v>
      </c>
      <c r="E19" s="20">
        <f>'[3]Річна потреба ТЕ на опалення'!U19</f>
        <v>28.675000000000001</v>
      </c>
      <c r="F19" s="20">
        <f>'[3]Річна потреба ТЕ на опалення'!S18</f>
        <v>0</v>
      </c>
      <c r="G19" s="93">
        <v>23</v>
      </c>
      <c r="H19" s="206">
        <v>2.3E-3</v>
      </c>
      <c r="I19" s="66">
        <f t="shared" si="2"/>
        <v>6.6000000000000003E-2</v>
      </c>
      <c r="J19" s="23">
        <f t="shared" si="2"/>
        <v>0</v>
      </c>
      <c r="K19" s="23">
        <f t="shared" si="2"/>
        <v>6.6000000000000003E-2</v>
      </c>
      <c r="L19" s="23">
        <f t="shared" si="2"/>
        <v>0</v>
      </c>
      <c r="M19" s="66">
        <f t="shared" si="3"/>
        <v>28.741</v>
      </c>
      <c r="N19" s="23">
        <f t="shared" si="4"/>
        <v>0</v>
      </c>
      <c r="O19" s="23">
        <f t="shared" si="5"/>
        <v>28.741</v>
      </c>
      <c r="P19" s="23">
        <f t="shared" si="6"/>
        <v>0</v>
      </c>
      <c r="Q19" s="66">
        <f t="shared" si="0"/>
        <v>0.64700000000000002</v>
      </c>
      <c r="R19" s="66">
        <f t="shared" si="7"/>
        <v>29.388000000000002</v>
      </c>
      <c r="S19" s="23">
        <f t="shared" si="7"/>
        <v>0</v>
      </c>
      <c r="T19" s="23">
        <f t="shared" si="7"/>
        <v>29.388000000000002</v>
      </c>
      <c r="U19" s="23">
        <f t="shared" si="7"/>
        <v>0</v>
      </c>
      <c r="V19" s="33">
        <f t="shared" si="8"/>
        <v>0</v>
      </c>
    </row>
    <row r="20" spans="1:22" s="3" customFormat="1" ht="15.75">
      <c r="A20" s="22">
        <v>7</v>
      </c>
      <c r="B20" s="21" t="s">
        <v>360</v>
      </c>
      <c r="C20" s="92">
        <f t="shared" si="1"/>
        <v>39.895000000000003</v>
      </c>
      <c r="D20" s="20">
        <f>'[3]Річна потреба ТЕ на опалення'!Q19</f>
        <v>0</v>
      </c>
      <c r="E20" s="20">
        <f>'[3]Річна потреба ТЕ на опалення'!U23</f>
        <v>39.895000000000003</v>
      </c>
      <c r="F20" s="20">
        <f>'[3]Річна потреба ТЕ на опалення'!S19</f>
        <v>0</v>
      </c>
      <c r="G20" s="23">
        <v>225.5</v>
      </c>
      <c r="H20" s="207">
        <v>2.2599999999999999E-2</v>
      </c>
      <c r="I20" s="66">
        <f t="shared" si="2"/>
        <v>0.92200000000000004</v>
      </c>
      <c r="J20" s="23">
        <f t="shared" si="2"/>
        <v>0</v>
      </c>
      <c r="K20" s="23">
        <f t="shared" si="2"/>
        <v>0.92200000000000004</v>
      </c>
      <c r="L20" s="23">
        <f t="shared" si="2"/>
        <v>0</v>
      </c>
      <c r="M20" s="66">
        <f t="shared" si="3"/>
        <v>40.817</v>
      </c>
      <c r="N20" s="23">
        <f t="shared" si="4"/>
        <v>0</v>
      </c>
      <c r="O20" s="23">
        <f t="shared" si="5"/>
        <v>40.817</v>
      </c>
      <c r="P20" s="23">
        <f t="shared" si="6"/>
        <v>0</v>
      </c>
      <c r="Q20" s="66">
        <f t="shared" si="0"/>
        <v>0.91800000000000004</v>
      </c>
      <c r="R20" s="66">
        <f t="shared" si="7"/>
        <v>41.734999999999999</v>
      </c>
      <c r="S20" s="23">
        <f t="shared" si="7"/>
        <v>0</v>
      </c>
      <c r="T20" s="23">
        <f t="shared" si="7"/>
        <v>41.734999999999999</v>
      </c>
      <c r="U20" s="23">
        <f t="shared" si="7"/>
        <v>0</v>
      </c>
      <c r="V20" s="33"/>
    </row>
    <row r="21" spans="1:22" s="3" customFormat="1" ht="15.75">
      <c r="A21" s="22">
        <v>8</v>
      </c>
      <c r="B21" s="21" t="s">
        <v>168</v>
      </c>
      <c r="C21" s="92">
        <f t="shared" si="1"/>
        <v>36.561</v>
      </c>
      <c r="D21" s="20">
        <f>'[3]Річна потреба ТЕ на опалення'!Q20</f>
        <v>0</v>
      </c>
      <c r="E21" s="20">
        <f>'[3]Річна потреба ТЕ на опалення'!U24</f>
        <v>36.561</v>
      </c>
      <c r="F21" s="20">
        <f>'[3]Річна потреба ТЕ на опалення'!S20</f>
        <v>0</v>
      </c>
      <c r="G21" s="20"/>
      <c r="H21" s="207"/>
      <c r="I21" s="66">
        <v>0</v>
      </c>
      <c r="J21" s="23">
        <f t="shared" si="2"/>
        <v>0</v>
      </c>
      <c r="K21" s="23">
        <f t="shared" si="2"/>
        <v>0</v>
      </c>
      <c r="L21" s="23">
        <f t="shared" si="2"/>
        <v>0</v>
      </c>
      <c r="M21" s="66">
        <f t="shared" si="3"/>
        <v>36.561</v>
      </c>
      <c r="N21" s="23">
        <f>D21/(100%-H21)</f>
        <v>0</v>
      </c>
      <c r="O21" s="23">
        <f>E21/(100%-H21)</f>
        <v>36.561</v>
      </c>
      <c r="P21" s="23">
        <f>F21/(100%-H21)</f>
        <v>0</v>
      </c>
      <c r="Q21" s="66">
        <f t="shared" si="0"/>
        <v>0.82199999999999995</v>
      </c>
      <c r="R21" s="66">
        <f t="shared" si="7"/>
        <v>37.383000000000003</v>
      </c>
      <c r="S21" s="23">
        <f t="shared" si="7"/>
        <v>0</v>
      </c>
      <c r="T21" s="23">
        <f t="shared" si="7"/>
        <v>37.383000000000003</v>
      </c>
      <c r="U21" s="23">
        <f t="shared" si="7"/>
        <v>0</v>
      </c>
      <c r="V21" s="33"/>
    </row>
    <row r="22" spans="1:22" s="3" customFormat="1" ht="15.75">
      <c r="A22" s="22">
        <v>9</v>
      </c>
      <c r="B22" s="21" t="s">
        <v>221</v>
      </c>
      <c r="C22" s="92">
        <f>D22+E22+F22</f>
        <v>2.5449999999999999</v>
      </c>
      <c r="D22" s="20">
        <f>'[3]Річна потреба ТЕ на опалення'!Q21</f>
        <v>0</v>
      </c>
      <c r="E22" s="20">
        <f>'[3]Річна потреба ТЕ на опалення'!U25</f>
        <v>2.5449999999999999</v>
      </c>
      <c r="F22" s="20">
        <f>'[3]Річна потреба ТЕ на опалення'!S21</f>
        <v>0</v>
      </c>
      <c r="G22" s="23"/>
      <c r="H22" s="207"/>
      <c r="I22" s="66">
        <f t="shared" si="2"/>
        <v>0</v>
      </c>
      <c r="J22" s="23">
        <f t="shared" si="2"/>
        <v>0</v>
      </c>
      <c r="K22" s="23">
        <f t="shared" si="2"/>
        <v>0</v>
      </c>
      <c r="L22" s="23">
        <f t="shared" si="2"/>
        <v>0</v>
      </c>
      <c r="M22" s="66">
        <f>C22/(100%-H22)</f>
        <v>2.5449999999999999</v>
      </c>
      <c r="N22" s="23">
        <f>D22/(100%-H22)</f>
        <v>0</v>
      </c>
      <c r="O22" s="23">
        <f>E22/(100%-H22)</f>
        <v>2.5449999999999999</v>
      </c>
      <c r="P22" s="23">
        <f>F22/(100%-H22)</f>
        <v>0</v>
      </c>
      <c r="Q22" s="66">
        <f t="shared" si="0"/>
        <v>5.7000000000000002E-2</v>
      </c>
      <c r="R22" s="66">
        <f t="shared" si="7"/>
        <v>2.6019999999999999</v>
      </c>
      <c r="S22" s="23">
        <f t="shared" si="7"/>
        <v>0</v>
      </c>
      <c r="T22" s="23">
        <f t="shared" si="7"/>
        <v>2.6019999999999999</v>
      </c>
      <c r="U22" s="23">
        <f t="shared" si="7"/>
        <v>0</v>
      </c>
      <c r="V22" s="33" t="e">
        <f>#REF!-#REF!-#REF!-#REF!</f>
        <v>#REF!</v>
      </c>
    </row>
    <row r="23" spans="1:22" s="3" customFormat="1" ht="15.75">
      <c r="A23" s="22">
        <v>10</v>
      </c>
      <c r="B23" s="21" t="s">
        <v>222</v>
      </c>
      <c r="C23" s="98">
        <f>D23+E23+F23</f>
        <v>9.2119999999999997</v>
      </c>
      <c r="D23" s="20">
        <f>'[3]Річна потреба ТЕ на опалення'!Q22</f>
        <v>0</v>
      </c>
      <c r="E23" s="20">
        <f>'[3]Річна потреба ТЕ на опалення'!U26</f>
        <v>9.2119999999999997</v>
      </c>
      <c r="F23" s="20">
        <f>'[3]Річна потреба ТЕ на опалення'!S22</f>
        <v>0</v>
      </c>
      <c r="G23" s="30"/>
      <c r="H23" s="31"/>
      <c r="I23" s="99">
        <f t="shared" si="2"/>
        <v>0</v>
      </c>
      <c r="J23" s="30">
        <f t="shared" si="2"/>
        <v>0</v>
      </c>
      <c r="K23" s="30">
        <f t="shared" si="2"/>
        <v>0</v>
      </c>
      <c r="L23" s="30">
        <f t="shared" si="2"/>
        <v>0</v>
      </c>
      <c r="M23" s="99">
        <f>C23/(100%-H23)</f>
        <v>9.2119999999999997</v>
      </c>
      <c r="N23" s="30">
        <f>D23/(100%-H23)</f>
        <v>0</v>
      </c>
      <c r="O23" s="30">
        <f>E23/(100%-H23)</f>
        <v>9.2119999999999997</v>
      </c>
      <c r="P23" s="30">
        <f>F23/(100%-H23)</f>
        <v>0</v>
      </c>
      <c r="Q23" s="66">
        <f t="shared" si="0"/>
        <v>0.20699999999999999</v>
      </c>
      <c r="R23" s="66">
        <f t="shared" si="7"/>
        <v>9.4190000000000005</v>
      </c>
      <c r="S23" s="23">
        <f t="shared" si="7"/>
        <v>0</v>
      </c>
      <c r="T23" s="23">
        <f t="shared" si="7"/>
        <v>9.4190000000000005</v>
      </c>
      <c r="U23" s="23">
        <f t="shared" si="7"/>
        <v>0</v>
      </c>
      <c r="V23" s="33">
        <f>R22-S22-T22-U22</f>
        <v>0</v>
      </c>
    </row>
    <row r="24" spans="1:22" s="3" customFormat="1" ht="15.75">
      <c r="A24" s="22">
        <v>11</v>
      </c>
      <c r="B24" s="21" t="s">
        <v>223</v>
      </c>
      <c r="C24" s="98">
        <f>D24+E24+F24</f>
        <v>97.137</v>
      </c>
      <c r="D24" s="20">
        <f>'[3]Річна потреба ТЕ на опалення'!Q23</f>
        <v>0</v>
      </c>
      <c r="E24" s="20">
        <f>'[3]Річна потреба ТЕ на опалення'!U27</f>
        <v>97.137</v>
      </c>
      <c r="F24" s="20">
        <f>'[3]Річна потреба ТЕ на опалення'!S23</f>
        <v>0</v>
      </c>
      <c r="G24" s="30"/>
      <c r="H24" s="31"/>
      <c r="I24" s="99">
        <f t="shared" si="2"/>
        <v>0</v>
      </c>
      <c r="J24" s="30">
        <f t="shared" si="2"/>
        <v>0</v>
      </c>
      <c r="K24" s="30">
        <f t="shared" si="2"/>
        <v>0</v>
      </c>
      <c r="L24" s="30">
        <f t="shared" si="2"/>
        <v>0</v>
      </c>
      <c r="M24" s="99">
        <f>C24/(100%-H24)</f>
        <v>97.137</v>
      </c>
      <c r="N24" s="30">
        <f>D24/(100%-H24)</f>
        <v>0</v>
      </c>
      <c r="O24" s="30">
        <f>E24/(100%-H24)</f>
        <v>97.137</v>
      </c>
      <c r="P24" s="30">
        <f>F24/(100%-H24)</f>
        <v>0</v>
      </c>
      <c r="Q24" s="66">
        <f t="shared" si="0"/>
        <v>2.1850000000000001</v>
      </c>
      <c r="R24" s="66">
        <f t="shared" si="7"/>
        <v>99.322000000000003</v>
      </c>
      <c r="S24" s="23">
        <f t="shared" si="7"/>
        <v>0</v>
      </c>
      <c r="T24" s="23">
        <f t="shared" si="7"/>
        <v>99.322000000000003</v>
      </c>
      <c r="U24" s="23">
        <f t="shared" si="7"/>
        <v>0</v>
      </c>
      <c r="V24" s="33">
        <f>R23-S23-T23-U23</f>
        <v>0</v>
      </c>
    </row>
    <row r="25" spans="1:22" s="3" customFormat="1" ht="15.75">
      <c r="A25" s="22">
        <v>12</v>
      </c>
      <c r="B25" s="21" t="s">
        <v>224</v>
      </c>
      <c r="C25" s="92">
        <f t="shared" si="1"/>
        <v>473.87599999999998</v>
      </c>
      <c r="D25" s="20">
        <f>'[3]Річна потреба ТЕ на опалення'!T44</f>
        <v>39.786999999999999</v>
      </c>
      <c r="E25" s="20">
        <f>'[3]Річна потреба ТЕ на опалення'!U44</f>
        <v>388.65800000000002</v>
      </c>
      <c r="F25" s="20">
        <f>'[3]Річна потреба ТЕ на опалення'!V44</f>
        <v>45.430999999999997</v>
      </c>
      <c r="G25" s="20">
        <v>1464</v>
      </c>
      <c r="H25" s="209">
        <v>7.5800000000000006E-2</v>
      </c>
      <c r="I25" s="92">
        <f t="shared" si="2"/>
        <v>38.866</v>
      </c>
      <c r="J25" s="20">
        <f t="shared" si="2"/>
        <v>3.2629999999999999</v>
      </c>
      <c r="K25" s="20">
        <f t="shared" si="2"/>
        <v>31.876999999999999</v>
      </c>
      <c r="L25" s="20">
        <f t="shared" si="2"/>
        <v>3.726</v>
      </c>
      <c r="M25" s="92">
        <f t="shared" si="3"/>
        <v>512.74199999999996</v>
      </c>
      <c r="N25" s="20">
        <f t="shared" si="4"/>
        <v>43.05</v>
      </c>
      <c r="O25" s="20">
        <f t="shared" si="5"/>
        <v>420.53500000000003</v>
      </c>
      <c r="P25" s="20">
        <f t="shared" si="6"/>
        <v>49.156999999999996</v>
      </c>
      <c r="Q25" s="66">
        <f t="shared" si="0"/>
        <v>11.534000000000001</v>
      </c>
      <c r="R25" s="66">
        <f t="shared" si="7"/>
        <v>524.27599999999995</v>
      </c>
      <c r="S25" s="23">
        <f t="shared" si="7"/>
        <v>44.018000000000001</v>
      </c>
      <c r="T25" s="23">
        <f t="shared" si="7"/>
        <v>429.995</v>
      </c>
      <c r="U25" s="23">
        <f t="shared" si="7"/>
        <v>50.262999999999998</v>
      </c>
      <c r="V25" s="33">
        <f t="shared" si="8"/>
        <v>0</v>
      </c>
    </row>
    <row r="26" spans="1:22" s="3" customFormat="1" ht="15.75">
      <c r="A26" s="22">
        <v>13</v>
      </c>
      <c r="B26" s="21" t="s">
        <v>225</v>
      </c>
      <c r="C26" s="92">
        <f t="shared" si="1"/>
        <v>445.57799999999997</v>
      </c>
      <c r="D26" s="20">
        <f>'[3]Річна потреба ТЕ на опалення'!T52</f>
        <v>44.447000000000003</v>
      </c>
      <c r="E26" s="20">
        <f>'[3]Річна потреба ТЕ на опалення'!U52</f>
        <v>336.93400000000003</v>
      </c>
      <c r="F26" s="20">
        <f>'[3]Річна потреба ТЕ на опалення'!V52</f>
        <v>64.197000000000003</v>
      </c>
      <c r="G26" s="23">
        <v>1398</v>
      </c>
      <c r="H26" s="207">
        <v>7.1900000000000006E-2</v>
      </c>
      <c r="I26" s="66">
        <f t="shared" si="2"/>
        <v>34.518999999999998</v>
      </c>
      <c r="J26" s="23">
        <f t="shared" si="2"/>
        <v>3.4430000000000001</v>
      </c>
      <c r="K26" s="23">
        <f t="shared" si="2"/>
        <v>26.102</v>
      </c>
      <c r="L26" s="23">
        <f t="shared" si="2"/>
        <v>4.9729999999999999</v>
      </c>
      <c r="M26" s="66">
        <f t="shared" si="3"/>
        <v>480.09699999999998</v>
      </c>
      <c r="N26" s="23">
        <f t="shared" si="4"/>
        <v>47.89</v>
      </c>
      <c r="O26" s="23">
        <f t="shared" si="5"/>
        <v>363.036</v>
      </c>
      <c r="P26" s="23">
        <f t="shared" si="6"/>
        <v>69.17</v>
      </c>
      <c r="Q26" s="66">
        <f t="shared" si="0"/>
        <v>10.8</v>
      </c>
      <c r="R26" s="66">
        <f t="shared" si="7"/>
        <v>490.89699999999999</v>
      </c>
      <c r="S26" s="23">
        <f t="shared" si="7"/>
        <v>48.966999999999999</v>
      </c>
      <c r="T26" s="23">
        <f t="shared" si="7"/>
        <v>371.202</v>
      </c>
      <c r="U26" s="23">
        <f t="shared" si="7"/>
        <v>70.725999999999999</v>
      </c>
      <c r="V26" s="33">
        <f t="shared" si="8"/>
        <v>0</v>
      </c>
    </row>
    <row r="27" spans="1:22" s="3" customFormat="1" ht="15.75">
      <c r="A27" s="22">
        <v>14</v>
      </c>
      <c r="B27" s="21" t="s">
        <v>169</v>
      </c>
      <c r="C27" s="92">
        <f t="shared" si="1"/>
        <v>80.649000000000001</v>
      </c>
      <c r="D27" s="20">
        <f>'[3]Річна потреба ТЕ на опалення'!Q26</f>
        <v>0</v>
      </c>
      <c r="E27" s="20">
        <f>'[3]Річна потреба ТЕ на опалення'!U53</f>
        <v>80.649000000000001</v>
      </c>
      <c r="F27" s="20">
        <f>'[3]Річна потреба ТЕ на опалення'!S26</f>
        <v>0</v>
      </c>
      <c r="G27" s="23"/>
      <c r="H27" s="207"/>
      <c r="I27" s="66">
        <f t="shared" si="2"/>
        <v>0</v>
      </c>
      <c r="J27" s="23">
        <f t="shared" si="2"/>
        <v>0</v>
      </c>
      <c r="K27" s="23">
        <f t="shared" si="2"/>
        <v>0</v>
      </c>
      <c r="L27" s="23">
        <f t="shared" si="2"/>
        <v>0</v>
      </c>
      <c r="M27" s="66">
        <f t="shared" si="3"/>
        <v>80.649000000000001</v>
      </c>
      <c r="N27" s="23">
        <f t="shared" si="4"/>
        <v>0</v>
      </c>
      <c r="O27" s="23">
        <f t="shared" si="5"/>
        <v>80.649000000000001</v>
      </c>
      <c r="P27" s="23">
        <f t="shared" si="6"/>
        <v>0</v>
      </c>
      <c r="Q27" s="66">
        <f t="shared" si="0"/>
        <v>1.8140000000000001</v>
      </c>
      <c r="R27" s="66">
        <f t="shared" si="7"/>
        <v>82.462999999999994</v>
      </c>
      <c r="S27" s="23">
        <f t="shared" si="7"/>
        <v>0</v>
      </c>
      <c r="T27" s="23">
        <f t="shared" si="7"/>
        <v>82.462999999999994</v>
      </c>
      <c r="U27" s="23">
        <f t="shared" si="7"/>
        <v>0</v>
      </c>
      <c r="V27" s="33">
        <f t="shared" si="8"/>
        <v>0</v>
      </c>
    </row>
    <row r="28" spans="1:22" s="3" customFormat="1" ht="15.75">
      <c r="A28" s="22">
        <v>15</v>
      </c>
      <c r="B28" s="21" t="s">
        <v>362</v>
      </c>
      <c r="C28" s="92">
        <f t="shared" si="1"/>
        <v>114.70099999999999</v>
      </c>
      <c r="D28" s="20">
        <f>'[3]Річна потреба ТЕ на опалення'!Q27</f>
        <v>0</v>
      </c>
      <c r="E28" s="20">
        <f>'[3]Річна потреба ТЕ на опалення'!U54</f>
        <v>114.70099999999999</v>
      </c>
      <c r="F28" s="20">
        <f>'[3]Річна потреба ТЕ на опалення'!S27</f>
        <v>0</v>
      </c>
      <c r="G28" s="23">
        <v>7.5</v>
      </c>
      <c r="H28" s="207">
        <v>8.0000000000000004E-4</v>
      </c>
      <c r="I28" s="66">
        <f t="shared" si="2"/>
        <v>9.1999999999999998E-2</v>
      </c>
      <c r="J28" s="23">
        <f t="shared" si="2"/>
        <v>0</v>
      </c>
      <c r="K28" s="23">
        <f t="shared" si="2"/>
        <v>9.1999999999999998E-2</v>
      </c>
      <c r="L28" s="23">
        <f t="shared" si="2"/>
        <v>0</v>
      </c>
      <c r="M28" s="66">
        <f t="shared" si="3"/>
        <v>114.79300000000001</v>
      </c>
      <c r="N28" s="23">
        <f t="shared" si="4"/>
        <v>0</v>
      </c>
      <c r="O28" s="23">
        <f t="shared" si="5"/>
        <v>114.79300000000001</v>
      </c>
      <c r="P28" s="23">
        <f t="shared" si="6"/>
        <v>0</v>
      </c>
      <c r="Q28" s="66">
        <f t="shared" si="0"/>
        <v>2.5819999999999999</v>
      </c>
      <c r="R28" s="66">
        <f t="shared" si="7"/>
        <v>117.375</v>
      </c>
      <c r="S28" s="23">
        <f t="shared" si="7"/>
        <v>0</v>
      </c>
      <c r="T28" s="23">
        <f t="shared" si="7"/>
        <v>117.375</v>
      </c>
      <c r="U28" s="23">
        <f t="shared" si="7"/>
        <v>0</v>
      </c>
      <c r="V28" s="33">
        <f t="shared" si="8"/>
        <v>0</v>
      </c>
    </row>
    <row r="29" spans="1:22" s="3" customFormat="1" ht="15.75">
      <c r="A29" s="22">
        <v>16</v>
      </c>
      <c r="B29" s="21" t="s">
        <v>226</v>
      </c>
      <c r="C29" s="92">
        <f>D29+E29+F29</f>
        <v>77.064999999999998</v>
      </c>
      <c r="D29" s="20">
        <f>'[3]Річна потреба ТЕ на опалення'!T55</f>
        <v>0</v>
      </c>
      <c r="E29" s="20">
        <f>'[3]Річна потреба ТЕ на опалення'!U55+'[3]Річна потреба ТЕ на опалення'!U56</f>
        <v>77.064999999999998</v>
      </c>
      <c r="F29" s="20">
        <f>'[3]Річна потреба ТЕ на опалення'!S28</f>
        <v>0</v>
      </c>
      <c r="G29" s="23"/>
      <c r="H29" s="207"/>
      <c r="I29" s="66">
        <f t="shared" si="2"/>
        <v>0</v>
      </c>
      <c r="J29" s="23">
        <f t="shared" si="2"/>
        <v>0</v>
      </c>
      <c r="K29" s="23">
        <f t="shared" si="2"/>
        <v>0</v>
      </c>
      <c r="L29" s="23">
        <f t="shared" si="2"/>
        <v>0</v>
      </c>
      <c r="M29" s="66">
        <f t="shared" si="3"/>
        <v>77.064999999999998</v>
      </c>
      <c r="N29" s="23">
        <f t="shared" si="4"/>
        <v>0</v>
      </c>
      <c r="O29" s="23">
        <f t="shared" si="5"/>
        <v>77.064999999999998</v>
      </c>
      <c r="P29" s="23">
        <f t="shared" si="6"/>
        <v>0</v>
      </c>
      <c r="Q29" s="66">
        <f t="shared" si="0"/>
        <v>1.734</v>
      </c>
      <c r="R29" s="66">
        <f t="shared" si="7"/>
        <v>78.799000000000007</v>
      </c>
      <c r="S29" s="23">
        <f t="shared" si="7"/>
        <v>0</v>
      </c>
      <c r="T29" s="23">
        <f t="shared" si="7"/>
        <v>78.799000000000007</v>
      </c>
      <c r="U29" s="23">
        <f t="shared" si="7"/>
        <v>0</v>
      </c>
      <c r="V29" s="33">
        <f t="shared" si="8"/>
        <v>0</v>
      </c>
    </row>
    <row r="30" spans="1:22" s="3" customFormat="1" ht="15.75">
      <c r="A30" s="22">
        <v>17</v>
      </c>
      <c r="B30" s="21" t="s">
        <v>227</v>
      </c>
      <c r="C30" s="92">
        <f t="shared" si="1"/>
        <v>73.48</v>
      </c>
      <c r="D30" s="20">
        <f>'[3]Річна потреба ТЕ на опалення'!T56</f>
        <v>0</v>
      </c>
      <c r="E30" s="20">
        <f>'[3]Річна потреба ТЕ на опалення'!U57</f>
        <v>73.48</v>
      </c>
      <c r="F30" s="20">
        <f>'[3]Річна потреба ТЕ на опалення'!S29</f>
        <v>0</v>
      </c>
      <c r="G30" s="23"/>
      <c r="H30" s="207"/>
      <c r="I30" s="66">
        <f t="shared" si="2"/>
        <v>0</v>
      </c>
      <c r="J30" s="23">
        <f t="shared" si="2"/>
        <v>0</v>
      </c>
      <c r="K30" s="23">
        <f t="shared" si="2"/>
        <v>0</v>
      </c>
      <c r="L30" s="23">
        <f t="shared" si="2"/>
        <v>0</v>
      </c>
      <c r="M30" s="66">
        <f t="shared" si="3"/>
        <v>73.48</v>
      </c>
      <c r="N30" s="23">
        <f t="shared" si="4"/>
        <v>0</v>
      </c>
      <c r="O30" s="23">
        <f t="shared" si="5"/>
        <v>73.48</v>
      </c>
      <c r="P30" s="23">
        <f t="shared" si="6"/>
        <v>0</v>
      </c>
      <c r="Q30" s="66">
        <f t="shared" si="0"/>
        <v>1.653</v>
      </c>
      <c r="R30" s="66">
        <f t="shared" si="7"/>
        <v>75.132999999999996</v>
      </c>
      <c r="S30" s="23">
        <f t="shared" si="7"/>
        <v>0</v>
      </c>
      <c r="T30" s="23">
        <f t="shared" si="7"/>
        <v>75.132999999999996</v>
      </c>
      <c r="U30" s="23">
        <f t="shared" si="7"/>
        <v>0</v>
      </c>
      <c r="V30" s="33">
        <f t="shared" si="8"/>
        <v>0</v>
      </c>
    </row>
    <row r="31" spans="1:22" s="3" customFormat="1" ht="15.75">
      <c r="A31" s="22">
        <v>18</v>
      </c>
      <c r="B31" s="21" t="s">
        <v>363</v>
      </c>
      <c r="C31" s="92">
        <f t="shared" si="1"/>
        <v>22.940999999999999</v>
      </c>
      <c r="D31" s="20">
        <f>'[3]Річна потреба ТЕ на опалення'!T57</f>
        <v>0</v>
      </c>
      <c r="E31" s="20">
        <f>'[3]Річна потреба ТЕ на опалення'!U58+'[3]Річна потреба ТЕ на опалення'!U59</f>
        <v>22.940999999999999</v>
      </c>
      <c r="F31" s="20">
        <f>'[3]Річна потреба ТЕ на опалення'!S30</f>
        <v>0</v>
      </c>
      <c r="G31" s="23"/>
      <c r="H31" s="207"/>
      <c r="I31" s="66">
        <f t="shared" si="2"/>
        <v>0</v>
      </c>
      <c r="J31" s="23">
        <f t="shared" si="2"/>
        <v>0</v>
      </c>
      <c r="K31" s="23">
        <f t="shared" si="2"/>
        <v>0</v>
      </c>
      <c r="L31" s="23">
        <f t="shared" si="2"/>
        <v>0</v>
      </c>
      <c r="M31" s="66">
        <f t="shared" si="3"/>
        <v>22.940999999999999</v>
      </c>
      <c r="N31" s="23">
        <f t="shared" si="4"/>
        <v>0</v>
      </c>
      <c r="O31" s="23">
        <f t="shared" si="5"/>
        <v>22.940999999999999</v>
      </c>
      <c r="P31" s="23">
        <f t="shared" si="6"/>
        <v>0</v>
      </c>
      <c r="Q31" s="66">
        <f t="shared" si="0"/>
        <v>0.51600000000000001</v>
      </c>
      <c r="R31" s="66">
        <f t="shared" si="7"/>
        <v>23.457000000000001</v>
      </c>
      <c r="S31" s="23">
        <f t="shared" si="7"/>
        <v>0</v>
      </c>
      <c r="T31" s="23">
        <f t="shared" si="7"/>
        <v>23.457000000000001</v>
      </c>
      <c r="U31" s="23">
        <f t="shared" si="7"/>
        <v>0</v>
      </c>
      <c r="V31" s="33">
        <f t="shared" si="8"/>
        <v>0</v>
      </c>
    </row>
    <row r="32" spans="1:22" s="3" customFormat="1" ht="15.75">
      <c r="A32" s="22">
        <v>19</v>
      </c>
      <c r="B32" s="21" t="s">
        <v>228</v>
      </c>
      <c r="C32" s="92">
        <f t="shared" si="1"/>
        <v>185.958</v>
      </c>
      <c r="D32" s="20">
        <f>'[3]Річна потреба ТЕ на опалення'!T58</f>
        <v>0</v>
      </c>
      <c r="E32" s="20">
        <f>'[3]Річна потреба ТЕ на опалення'!U60+'[3]Річна потреба ТЕ на опалення'!U61+'[3]Річна потреба ТЕ на опалення'!U62</f>
        <v>185.958</v>
      </c>
      <c r="F32" s="20">
        <f>'[3]Річна потреба ТЕ на опалення'!S31</f>
        <v>0</v>
      </c>
      <c r="G32" s="23"/>
      <c r="H32" s="207"/>
      <c r="I32" s="66">
        <f t="shared" si="2"/>
        <v>0</v>
      </c>
      <c r="J32" s="23">
        <f t="shared" si="2"/>
        <v>0</v>
      </c>
      <c r="K32" s="23">
        <f t="shared" si="2"/>
        <v>0</v>
      </c>
      <c r="L32" s="23">
        <f t="shared" si="2"/>
        <v>0</v>
      </c>
      <c r="M32" s="66">
        <f t="shared" si="3"/>
        <v>185.958</v>
      </c>
      <c r="N32" s="23">
        <f t="shared" si="4"/>
        <v>0</v>
      </c>
      <c r="O32" s="23">
        <f t="shared" si="5"/>
        <v>185.958</v>
      </c>
      <c r="P32" s="23">
        <f t="shared" si="6"/>
        <v>0</v>
      </c>
      <c r="Q32" s="66">
        <f t="shared" si="0"/>
        <v>4.1829999999999998</v>
      </c>
      <c r="R32" s="66">
        <f t="shared" si="7"/>
        <v>190.14099999999999</v>
      </c>
      <c r="S32" s="23">
        <f t="shared" si="7"/>
        <v>0</v>
      </c>
      <c r="T32" s="23">
        <f t="shared" si="7"/>
        <v>190.14099999999999</v>
      </c>
      <c r="U32" s="23">
        <f t="shared" si="7"/>
        <v>0</v>
      </c>
      <c r="V32" s="33">
        <f t="shared" si="8"/>
        <v>0</v>
      </c>
    </row>
    <row r="33" spans="1:25" s="3" customFormat="1" ht="15.75">
      <c r="A33" s="25">
        <v>20</v>
      </c>
      <c r="B33" s="21" t="s">
        <v>229</v>
      </c>
      <c r="C33" s="92">
        <f t="shared" si="1"/>
        <v>74.269000000000005</v>
      </c>
      <c r="D33" s="20">
        <f>'[3]Річна потреба ТЕ на опалення'!T59</f>
        <v>0</v>
      </c>
      <c r="E33" s="20">
        <f>'[3]Річна потреба ТЕ на опалення'!U63+'[3]Річна потреба ТЕ на опалення'!U64</f>
        <v>74.269000000000005</v>
      </c>
      <c r="F33" s="20">
        <f>'[3]Річна потреба ТЕ на опалення'!S32</f>
        <v>0</v>
      </c>
      <c r="G33" s="23">
        <v>21</v>
      </c>
      <c r="H33" s="207">
        <v>2.0999999999999999E-3</v>
      </c>
      <c r="I33" s="66">
        <f t="shared" si="2"/>
        <v>0.156</v>
      </c>
      <c r="J33" s="23">
        <f t="shared" si="2"/>
        <v>0</v>
      </c>
      <c r="K33" s="23">
        <f t="shared" si="2"/>
        <v>0.156</v>
      </c>
      <c r="L33" s="23">
        <f t="shared" si="2"/>
        <v>0</v>
      </c>
      <c r="M33" s="66">
        <f t="shared" si="3"/>
        <v>74.424999999999997</v>
      </c>
      <c r="N33" s="23">
        <f t="shared" si="4"/>
        <v>0</v>
      </c>
      <c r="O33" s="23">
        <f t="shared" si="5"/>
        <v>74.424999999999997</v>
      </c>
      <c r="P33" s="23">
        <f t="shared" si="6"/>
        <v>0</v>
      </c>
      <c r="Q33" s="66">
        <f t="shared" si="0"/>
        <v>1.6739999999999999</v>
      </c>
      <c r="R33" s="66">
        <f t="shared" si="7"/>
        <v>76.099000000000004</v>
      </c>
      <c r="S33" s="23">
        <f t="shared" si="7"/>
        <v>0</v>
      </c>
      <c r="T33" s="23">
        <f t="shared" si="7"/>
        <v>76.099000000000004</v>
      </c>
      <c r="U33" s="23">
        <f t="shared" si="7"/>
        <v>0</v>
      </c>
      <c r="V33" s="33">
        <f t="shared" si="8"/>
        <v>0</v>
      </c>
    </row>
    <row r="34" spans="1:25" s="3" customFormat="1" ht="16.5" thickBot="1">
      <c r="A34" s="26">
        <v>21</v>
      </c>
      <c r="B34" s="27" t="s">
        <v>230</v>
      </c>
      <c r="C34" s="92">
        <f t="shared" si="1"/>
        <v>16.236999999999998</v>
      </c>
      <c r="D34" s="20">
        <f>'[3]Річна потреба ТЕ на опалення'!T60</f>
        <v>0</v>
      </c>
      <c r="E34" s="20">
        <f>'[3]Річна потреба ТЕ на опалення'!U65</f>
        <v>16.236999999999998</v>
      </c>
      <c r="F34" s="20">
        <f>'[3]Річна потреба ТЕ на опалення'!S33</f>
        <v>0</v>
      </c>
      <c r="G34" s="30">
        <v>38.5</v>
      </c>
      <c r="H34" s="31">
        <v>3.8999999999999998E-3</v>
      </c>
      <c r="I34" s="99">
        <f t="shared" si="2"/>
        <v>6.4000000000000001E-2</v>
      </c>
      <c r="J34" s="30">
        <f t="shared" si="2"/>
        <v>0</v>
      </c>
      <c r="K34" s="30">
        <f t="shared" si="2"/>
        <v>6.4000000000000001E-2</v>
      </c>
      <c r="L34" s="30">
        <f t="shared" si="2"/>
        <v>0</v>
      </c>
      <c r="M34" s="99">
        <f t="shared" si="3"/>
        <v>16.300999999999998</v>
      </c>
      <c r="N34" s="30">
        <f t="shared" si="4"/>
        <v>0</v>
      </c>
      <c r="O34" s="30">
        <f t="shared" si="5"/>
        <v>16.300999999999998</v>
      </c>
      <c r="P34" s="30">
        <f t="shared" si="6"/>
        <v>0</v>
      </c>
      <c r="Q34" s="66">
        <f t="shared" si="0"/>
        <v>0.36699999999999999</v>
      </c>
      <c r="R34" s="66">
        <f t="shared" si="7"/>
        <v>16.667999999999999</v>
      </c>
      <c r="S34" s="23">
        <f t="shared" si="7"/>
        <v>0</v>
      </c>
      <c r="T34" s="23">
        <f t="shared" si="7"/>
        <v>16.667999999999999</v>
      </c>
      <c r="U34" s="23">
        <f t="shared" si="7"/>
        <v>0</v>
      </c>
      <c r="V34" s="33">
        <f t="shared" si="8"/>
        <v>0</v>
      </c>
    </row>
    <row r="35" spans="1:25" s="3" customFormat="1" ht="27.75" customHeight="1" thickBot="1">
      <c r="A35" s="4"/>
      <c r="B35" s="4" t="s">
        <v>161</v>
      </c>
      <c r="C35" s="7">
        <f>SUM(C14:C34)</f>
        <v>1976.0609999999999</v>
      </c>
      <c r="D35" s="7">
        <f>SUM(D14:D34)</f>
        <v>84.233999999999995</v>
      </c>
      <c r="E35" s="7">
        <f>SUM(E14:E34)</f>
        <v>1769.654</v>
      </c>
      <c r="F35" s="7">
        <f>SUM(F14:F34)</f>
        <v>122.173</v>
      </c>
      <c r="G35" s="7">
        <f>SUM(G14:G34)</f>
        <v>3369.5</v>
      </c>
      <c r="H35" s="9">
        <f>I35/M35</f>
        <v>3.6900000000000002E-2</v>
      </c>
      <c r="I35" s="7">
        <f t="shared" ref="I35:Q35" si="9">SUM(I14:I34)</f>
        <v>75.650999999999996</v>
      </c>
      <c r="J35" s="7">
        <f t="shared" si="9"/>
        <v>6.7060000000000004</v>
      </c>
      <c r="K35" s="7">
        <f t="shared" si="9"/>
        <v>60.22</v>
      </c>
      <c r="L35" s="7">
        <f t="shared" si="9"/>
        <v>8.7240000000000002</v>
      </c>
      <c r="M35" s="7">
        <f t="shared" si="9"/>
        <v>2051.712</v>
      </c>
      <c r="N35" s="7">
        <f t="shared" si="9"/>
        <v>90.94</v>
      </c>
      <c r="O35" s="7">
        <f t="shared" si="9"/>
        <v>1829.874</v>
      </c>
      <c r="P35" s="7">
        <f t="shared" si="9"/>
        <v>130.89699999999999</v>
      </c>
      <c r="Q35" s="7">
        <f t="shared" si="9"/>
        <v>46.152000000000001</v>
      </c>
      <c r="R35" s="7">
        <f>SUM(R14:R34)</f>
        <v>2097.864</v>
      </c>
      <c r="S35" s="7">
        <f>SUM(S14:S34)</f>
        <v>92.984999999999999</v>
      </c>
      <c r="T35" s="7">
        <f>SUM(T14:T34)</f>
        <v>1871.0350000000001</v>
      </c>
      <c r="U35" s="7">
        <f>SUM(U14:U34)</f>
        <v>133.84200000000001</v>
      </c>
      <c r="V35" s="33">
        <f t="shared" si="8"/>
        <v>0</v>
      </c>
    </row>
    <row r="36" spans="1:25" s="3" customFormat="1" ht="15.75">
      <c r="C36" s="1"/>
      <c r="I36" s="1"/>
      <c r="J36" s="1"/>
      <c r="K36" s="1"/>
      <c r="L36" s="1"/>
      <c r="M36" s="1"/>
      <c r="Q36" s="1"/>
      <c r="R36" s="1"/>
    </row>
    <row r="37" spans="1:25" s="3" customFormat="1" ht="15.75">
      <c r="C37" s="1"/>
      <c r="D37" s="57"/>
      <c r="E37" s="57"/>
      <c r="F37" s="57"/>
      <c r="I37" s="1"/>
      <c r="J37" s="1"/>
      <c r="K37" s="1"/>
      <c r="L37" s="1"/>
      <c r="M37" s="1"/>
      <c r="Q37" s="1"/>
      <c r="R37" s="1"/>
    </row>
    <row r="38" spans="1:25" s="3" customFormat="1" ht="15.75">
      <c r="C38" s="1"/>
      <c r="I38" s="1"/>
      <c r="J38" s="1"/>
      <c r="K38" s="1"/>
      <c r="L38" s="1"/>
      <c r="M38" s="1"/>
      <c r="Q38" s="383"/>
      <c r="R38" s="210"/>
    </row>
    <row r="39" spans="1:25" s="3" customFormat="1" ht="15.75">
      <c r="C39" s="1"/>
      <c r="H39" s="56"/>
      <c r="I39" s="1"/>
      <c r="J39" s="1"/>
      <c r="K39" s="1"/>
      <c r="L39" s="1"/>
      <c r="M39" s="1"/>
      <c r="Q39" s="210">
        <f>R35-R22-R23-R17</f>
        <v>2072.9899999999998</v>
      </c>
      <c r="R39" s="1"/>
    </row>
    <row r="40" spans="1:25" s="3" customFormat="1" ht="15.75">
      <c r="C40" s="1"/>
      <c r="H40" s="56"/>
      <c r="I40" s="1"/>
      <c r="J40" s="1"/>
      <c r="K40" s="1"/>
      <c r="L40" s="1"/>
      <c r="M40" s="1"/>
      <c r="Q40" s="1"/>
      <c r="R40" s="1"/>
    </row>
    <row r="41" spans="1:25" ht="15.75">
      <c r="B41" s="12" t="s">
        <v>95</v>
      </c>
      <c r="Q41" s="210">
        <f>R35-R22-R23</f>
        <v>2085.8429999999998</v>
      </c>
      <c r="R41" s="210"/>
      <c r="U41" s="181"/>
      <c r="Y41" s="181"/>
    </row>
    <row r="42" spans="1:25">
      <c r="R42" s="2"/>
      <c r="U42" s="181"/>
      <c r="Y42" s="181"/>
    </row>
    <row r="43" spans="1:25">
      <c r="R43" s="2"/>
      <c r="U43" s="181"/>
      <c r="Y43" s="181"/>
    </row>
    <row r="44" spans="1:25">
      <c r="R44" s="2"/>
      <c r="U44" s="181"/>
      <c r="Y44" s="181"/>
    </row>
    <row r="45" spans="1:25" ht="15">
      <c r="H45" s="384">
        <f>J35/N35</f>
        <v>7.3700000000000002E-2</v>
      </c>
      <c r="R45" s="2"/>
      <c r="U45" s="181"/>
      <c r="Y45" s="181"/>
    </row>
    <row r="46" spans="1:25" ht="15">
      <c r="H46" s="384">
        <f>K35/O35</f>
        <v>3.2899999999999999E-2</v>
      </c>
      <c r="R46" s="2"/>
      <c r="U46" s="181"/>
      <c r="Y46" s="181"/>
    </row>
    <row r="47" spans="1:25" ht="15">
      <c r="H47" s="384">
        <f>L35/P35</f>
        <v>6.6600000000000006E-2</v>
      </c>
      <c r="R47" s="2"/>
      <c r="U47" s="181"/>
      <c r="Y47" s="181"/>
    </row>
    <row r="48" spans="1:25">
      <c r="R48" s="2"/>
      <c r="U48" s="181"/>
      <c r="Y48" s="181"/>
    </row>
  </sheetData>
  <mergeCells count="24">
    <mergeCell ref="J7:J12"/>
    <mergeCell ref="K7:K12"/>
    <mergeCell ref="T7:T12"/>
    <mergeCell ref="U7:U12"/>
    <mergeCell ref="P7:P12"/>
    <mergeCell ref="Q7:Q12"/>
    <mergeCell ref="R7:R12"/>
    <mergeCell ref="S7:S12"/>
    <mergeCell ref="C2:S2"/>
    <mergeCell ref="C3:S3"/>
    <mergeCell ref="G5:M5"/>
    <mergeCell ref="A7:A12"/>
    <mergeCell ref="B7:B12"/>
    <mergeCell ref="C7:C12"/>
    <mergeCell ref="D7:D12"/>
    <mergeCell ref="E7:E12"/>
    <mergeCell ref="F7:F12"/>
    <mergeCell ref="G7:G12"/>
    <mergeCell ref="L7:L12"/>
    <mergeCell ref="M7:M12"/>
    <mergeCell ref="N7:N12"/>
    <mergeCell ref="O7:O12"/>
    <mergeCell ref="H7:H12"/>
    <mergeCell ref="I7:I12"/>
  </mergeCells>
  <phoneticPr fontId="2" type="noConversion"/>
  <pageMargins left="0.75" right="0.75" top="1" bottom="1" header="0.5" footer="0.5"/>
  <pageSetup paperSize="9" scale="44" orientation="landscape" verticalDpi="0" r:id="rId1"/>
  <headerFooter alignWithMargins="0"/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0"/>
  </sheetPr>
  <dimension ref="A2:AC48"/>
  <sheetViews>
    <sheetView topLeftCell="D1" zoomScale="75" zoomScaleNormal="75" workbookViewId="0">
      <selection sqref="A1:IV65536"/>
    </sheetView>
  </sheetViews>
  <sheetFormatPr defaultRowHeight="12.75"/>
  <cols>
    <col min="1" max="1" width="4.42578125" style="181" customWidth="1"/>
    <col min="2" max="2" width="41.140625" style="181" customWidth="1"/>
    <col min="3" max="3" width="12.85546875" style="2" customWidth="1"/>
    <col min="4" max="4" width="12.140625" style="181" customWidth="1"/>
    <col min="5" max="5" width="11" style="181" customWidth="1"/>
    <col min="6" max="6" width="11.5703125" style="181" customWidth="1"/>
    <col min="7" max="7" width="15.42578125" style="181" customWidth="1"/>
    <col min="8" max="8" width="11.140625" style="186" customWidth="1"/>
    <col min="9" max="9" width="10.140625" style="2" customWidth="1"/>
    <col min="10" max="12" width="12.85546875" style="2" customWidth="1"/>
    <col min="13" max="13" width="15.5703125" style="2" customWidth="1"/>
    <col min="14" max="14" width="12.140625" style="181" customWidth="1"/>
    <col min="15" max="15" width="13.140625" style="181" customWidth="1"/>
    <col min="16" max="16" width="11.5703125" style="181" customWidth="1"/>
    <col min="17" max="17" width="19.42578125" style="2" customWidth="1"/>
    <col min="18" max="18" width="11.5703125" style="181" customWidth="1"/>
    <col min="19" max="19" width="11.28515625" style="181" customWidth="1"/>
    <col min="20" max="20" width="12.140625" style="181" customWidth="1"/>
    <col min="21" max="21" width="19.5703125" style="2" customWidth="1"/>
    <col min="22" max="22" width="12.42578125" style="181" customWidth="1"/>
    <col min="23" max="23" width="11.42578125" style="181" customWidth="1"/>
    <col min="24" max="24" width="11.7109375" style="181" customWidth="1"/>
    <col min="25" max="25" width="15.5703125" style="2" customWidth="1"/>
    <col min="26" max="26" width="12.28515625" style="181" customWidth="1"/>
    <col min="27" max="27" width="10.85546875" style="181" customWidth="1"/>
    <col min="28" max="28" width="11.140625" style="181" customWidth="1"/>
    <col min="29" max="16384" width="9.140625" style="181"/>
  </cols>
  <sheetData>
    <row r="2" spans="1:29" ht="18">
      <c r="C2" s="528" t="s">
        <v>311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1:29" ht="18">
      <c r="C3" s="528" t="s">
        <v>171</v>
      </c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</row>
    <row r="4" spans="1:29" ht="21" customHeight="1">
      <c r="J4" s="3" t="s">
        <v>312</v>
      </c>
      <c r="K4" s="65"/>
      <c r="L4" s="65"/>
      <c r="M4" s="64"/>
      <c r="N4" s="62">
        <f>'[3]Вхідні дані'!E35</f>
        <v>31</v>
      </c>
      <c r="O4" s="3" t="s">
        <v>313</v>
      </c>
    </row>
    <row r="5" spans="1:29" ht="15.75">
      <c r="A5" s="54"/>
      <c r="B5" s="54"/>
      <c r="C5" s="54"/>
      <c r="D5" s="54"/>
      <c r="E5" s="54"/>
      <c r="F5" s="54"/>
      <c r="G5" s="547" t="s">
        <v>314</v>
      </c>
      <c r="H5" s="547"/>
      <c r="I5" s="547"/>
      <c r="J5" s="547"/>
      <c r="K5" s="547"/>
      <c r="L5" s="547"/>
      <c r="M5" s="547"/>
      <c r="N5" s="62">
        <v>24</v>
      </c>
      <c r="O5" s="63" t="s">
        <v>313</v>
      </c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9" ht="13.5" thickBot="1"/>
    <row r="7" spans="1:29" s="3" customFormat="1" ht="15" customHeight="1">
      <c r="A7" s="508" t="s">
        <v>179</v>
      </c>
      <c r="B7" s="508" t="s">
        <v>235</v>
      </c>
      <c r="C7" s="508" t="s">
        <v>307</v>
      </c>
      <c r="D7" s="548" t="s">
        <v>284</v>
      </c>
      <c r="E7" s="548" t="s">
        <v>285</v>
      </c>
      <c r="F7" s="548" t="s">
        <v>286</v>
      </c>
      <c r="G7" s="551" t="s">
        <v>315</v>
      </c>
      <c r="H7" s="558" t="s">
        <v>316</v>
      </c>
      <c r="I7" s="556" t="s">
        <v>304</v>
      </c>
      <c r="J7" s="554" t="s">
        <v>284</v>
      </c>
      <c r="K7" s="554" t="s">
        <v>285</v>
      </c>
      <c r="L7" s="554" t="s">
        <v>286</v>
      </c>
      <c r="M7" s="556" t="s">
        <v>310</v>
      </c>
      <c r="N7" s="554" t="s">
        <v>284</v>
      </c>
      <c r="O7" s="554" t="s">
        <v>285</v>
      </c>
      <c r="P7" s="554" t="s">
        <v>286</v>
      </c>
      <c r="Q7" s="556" t="s">
        <v>305</v>
      </c>
      <c r="R7" s="556" t="s">
        <v>306</v>
      </c>
      <c r="S7" s="554" t="s">
        <v>284</v>
      </c>
      <c r="T7" s="554" t="s">
        <v>285</v>
      </c>
      <c r="U7" s="554" t="s">
        <v>286</v>
      </c>
      <c r="X7" s="554" t="s">
        <v>286</v>
      </c>
      <c r="Y7" s="556" t="s">
        <v>306</v>
      </c>
      <c r="Z7" s="554" t="s">
        <v>284</v>
      </c>
      <c r="AA7" s="554" t="s">
        <v>285</v>
      </c>
      <c r="AB7" s="554" t="s">
        <v>286</v>
      </c>
    </row>
    <row r="8" spans="1:29" s="3" customFormat="1" ht="13.5" customHeight="1">
      <c r="A8" s="509"/>
      <c r="B8" s="509"/>
      <c r="C8" s="509"/>
      <c r="D8" s="549"/>
      <c r="E8" s="549"/>
      <c r="F8" s="549"/>
      <c r="G8" s="552"/>
      <c r="H8" s="559"/>
      <c r="I8" s="557"/>
      <c r="J8" s="555"/>
      <c r="K8" s="555"/>
      <c r="L8" s="555"/>
      <c r="M8" s="557"/>
      <c r="N8" s="555"/>
      <c r="O8" s="555"/>
      <c r="P8" s="555"/>
      <c r="Q8" s="557"/>
      <c r="R8" s="557"/>
      <c r="S8" s="555"/>
      <c r="T8" s="555"/>
      <c r="U8" s="555"/>
      <c r="X8" s="555"/>
      <c r="Y8" s="557"/>
      <c r="Z8" s="555"/>
      <c r="AA8" s="555"/>
      <c r="AB8" s="555"/>
    </row>
    <row r="9" spans="1:29" s="3" customFormat="1" ht="15" customHeight="1">
      <c r="A9" s="509"/>
      <c r="B9" s="509"/>
      <c r="C9" s="509"/>
      <c r="D9" s="549"/>
      <c r="E9" s="549"/>
      <c r="F9" s="549"/>
      <c r="G9" s="552"/>
      <c r="H9" s="559"/>
      <c r="I9" s="557"/>
      <c r="J9" s="555"/>
      <c r="K9" s="555"/>
      <c r="L9" s="555"/>
      <c r="M9" s="557"/>
      <c r="N9" s="555"/>
      <c r="O9" s="555"/>
      <c r="P9" s="555"/>
      <c r="Q9" s="557"/>
      <c r="R9" s="557"/>
      <c r="S9" s="555"/>
      <c r="T9" s="555"/>
      <c r="U9" s="555"/>
      <c r="X9" s="555"/>
      <c r="Y9" s="557"/>
      <c r="Z9" s="555"/>
      <c r="AA9" s="555"/>
      <c r="AB9" s="555"/>
    </row>
    <row r="10" spans="1:29" s="3" customFormat="1" ht="15" customHeight="1">
      <c r="A10" s="509"/>
      <c r="B10" s="509"/>
      <c r="C10" s="509"/>
      <c r="D10" s="549"/>
      <c r="E10" s="549"/>
      <c r="F10" s="549"/>
      <c r="G10" s="552"/>
      <c r="H10" s="559"/>
      <c r="I10" s="557"/>
      <c r="J10" s="555"/>
      <c r="K10" s="555"/>
      <c r="L10" s="555"/>
      <c r="M10" s="557"/>
      <c r="N10" s="555"/>
      <c r="O10" s="555"/>
      <c r="P10" s="555"/>
      <c r="Q10" s="557"/>
      <c r="R10" s="557"/>
      <c r="S10" s="555"/>
      <c r="T10" s="555"/>
      <c r="U10" s="555"/>
      <c r="X10" s="555"/>
      <c r="Y10" s="557"/>
      <c r="Z10" s="555"/>
      <c r="AA10" s="555"/>
      <c r="AB10" s="555"/>
    </row>
    <row r="11" spans="1:29" s="3" customFormat="1" ht="12.75" customHeight="1">
      <c r="A11" s="509"/>
      <c r="B11" s="509"/>
      <c r="C11" s="509"/>
      <c r="D11" s="549"/>
      <c r="E11" s="549"/>
      <c r="F11" s="549"/>
      <c r="G11" s="552"/>
      <c r="H11" s="559"/>
      <c r="I11" s="557"/>
      <c r="J11" s="555"/>
      <c r="K11" s="555"/>
      <c r="L11" s="555"/>
      <c r="M11" s="557"/>
      <c r="N11" s="555"/>
      <c r="O11" s="555"/>
      <c r="P11" s="555"/>
      <c r="Q11" s="557"/>
      <c r="R11" s="557"/>
      <c r="S11" s="555"/>
      <c r="T11" s="555"/>
      <c r="U11" s="555"/>
      <c r="X11" s="555"/>
      <c r="Y11" s="557"/>
      <c r="Z11" s="555"/>
      <c r="AA11" s="555"/>
      <c r="AB11" s="555"/>
    </row>
    <row r="12" spans="1:29" s="3" customFormat="1" ht="15.75" customHeight="1" thickBot="1">
      <c r="A12" s="510"/>
      <c r="B12" s="510"/>
      <c r="C12" s="510"/>
      <c r="D12" s="550"/>
      <c r="E12" s="550"/>
      <c r="F12" s="550"/>
      <c r="G12" s="553"/>
      <c r="H12" s="559"/>
      <c r="I12" s="557"/>
      <c r="J12" s="555"/>
      <c r="K12" s="555"/>
      <c r="L12" s="555"/>
      <c r="M12" s="557"/>
      <c r="N12" s="555"/>
      <c r="O12" s="555"/>
      <c r="P12" s="555"/>
      <c r="Q12" s="557"/>
      <c r="R12" s="557"/>
      <c r="S12" s="555"/>
      <c r="T12" s="555"/>
      <c r="U12" s="555"/>
      <c r="X12" s="555"/>
      <c r="Y12" s="557"/>
      <c r="Z12" s="555"/>
      <c r="AA12" s="555"/>
      <c r="AB12" s="555"/>
    </row>
    <row r="13" spans="1:29" s="3" customFormat="1" ht="16.5" thickBo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21</v>
      </c>
      <c r="R13" s="52">
        <v>25</v>
      </c>
      <c r="S13" s="6">
        <v>26</v>
      </c>
      <c r="T13" s="6">
        <v>27</v>
      </c>
      <c r="U13" s="6">
        <v>28</v>
      </c>
      <c r="X13" s="6">
        <v>24</v>
      </c>
      <c r="Y13" s="52">
        <v>25</v>
      </c>
      <c r="Z13" s="6">
        <v>26</v>
      </c>
      <c r="AA13" s="6">
        <v>27</v>
      </c>
      <c r="AB13" s="6">
        <v>28</v>
      </c>
    </row>
    <row r="14" spans="1:29" s="3" customFormat="1" ht="15.75">
      <c r="A14" s="16">
        <v>1</v>
      </c>
      <c r="B14" s="17" t="s">
        <v>216</v>
      </c>
      <c r="C14" s="92">
        <f>D14+E14+F14</f>
        <v>40.805</v>
      </c>
      <c r="D14" s="20">
        <f>'[3]Річна потреба ТЕ на опалення'!Q13</f>
        <v>0</v>
      </c>
      <c r="E14" s="20">
        <f>'[3]Річна потреба ТЕ на опалення'!X13</f>
        <v>40.805</v>
      </c>
      <c r="F14" s="20">
        <f>'[3]Річна потреба ТЕ на опалення'!S13</f>
        <v>0</v>
      </c>
      <c r="G14" s="20">
        <v>60</v>
      </c>
      <c r="H14" s="23">
        <v>6.0000000000000001E-3</v>
      </c>
      <c r="I14" s="66">
        <f>M14-C14</f>
        <v>0.246</v>
      </c>
      <c r="J14" s="23">
        <f>N14-D14</f>
        <v>0</v>
      </c>
      <c r="K14" s="23">
        <f>O14-E14</f>
        <v>0.246</v>
      </c>
      <c r="L14" s="23">
        <f>P14-F14</f>
        <v>0</v>
      </c>
      <c r="M14" s="66">
        <f>C14/(100%-$H$14)</f>
        <v>41.051000000000002</v>
      </c>
      <c r="N14" s="23">
        <f>D14/(100%-H14)</f>
        <v>0</v>
      </c>
      <c r="O14" s="23">
        <f>E14/(100%-H14)</f>
        <v>41.051000000000002</v>
      </c>
      <c r="P14" s="23">
        <f>F14/(100%-H14)</f>
        <v>0</v>
      </c>
      <c r="Q14" s="66">
        <f t="shared" ref="Q14:Q34" si="0">R14-M14</f>
        <v>0.92300000000000004</v>
      </c>
      <c r="R14" s="66">
        <f>(C14+I14)/(100%-2.2%)</f>
        <v>41.973999999999997</v>
      </c>
      <c r="S14" s="23">
        <f>(D14+J14)/(100%-2.2%)</f>
        <v>0</v>
      </c>
      <c r="T14" s="23">
        <f>(E14+K14)/(100%-2.2%)</f>
        <v>41.973999999999997</v>
      </c>
      <c r="U14" s="23">
        <f>(F14+L14)/(100%-2.2%)</f>
        <v>0</v>
      </c>
      <c r="V14" s="33">
        <f>R14-S14-T14-U14</f>
        <v>0</v>
      </c>
      <c r="X14" s="23"/>
      <c r="Y14" s="66">
        <f>(C14+I14+Q14)/(100%-2.2%)</f>
        <v>42.917999999999999</v>
      </c>
      <c r="Z14" s="23">
        <f>(D14+J14+R14)/(100%-2.2%)</f>
        <v>42.917999999999999</v>
      </c>
      <c r="AA14" s="23">
        <f t="shared" ref="AA14:AB25" si="1">(E14+K14+S14)/(100%-2.2%)</f>
        <v>41.973999999999997</v>
      </c>
      <c r="AB14" s="23">
        <f t="shared" si="1"/>
        <v>42.917999999999999</v>
      </c>
      <c r="AC14" s="33">
        <f>Y14-Z14-AA14-AB14</f>
        <v>-84.89</v>
      </c>
    </row>
    <row r="15" spans="1:29" s="3" customFormat="1" ht="15.75">
      <c r="A15" s="16">
        <v>2</v>
      </c>
      <c r="B15" s="21" t="s">
        <v>189</v>
      </c>
      <c r="C15" s="92">
        <f t="shared" ref="C15:C34" si="2">D15+E15+F15</f>
        <v>19.603999999999999</v>
      </c>
      <c r="D15" s="20">
        <f>'[3]Річна потреба ТЕ на опалення'!Q14</f>
        <v>0</v>
      </c>
      <c r="E15" s="20">
        <f>'[3]Річна потреба ТЕ на опалення'!X14+'[3]Річна потреба ТЕ на опалення'!X15</f>
        <v>19.603999999999999</v>
      </c>
      <c r="F15" s="20">
        <f>'[3]Річна потреба ТЕ на опалення'!S14</f>
        <v>0</v>
      </c>
      <c r="G15" s="23"/>
      <c r="H15" s="23"/>
      <c r="I15" s="66">
        <f t="shared" ref="I15:L34" si="3">M15-C15</f>
        <v>0</v>
      </c>
      <c r="J15" s="23">
        <f t="shared" si="3"/>
        <v>0</v>
      </c>
      <c r="K15" s="23">
        <f t="shared" si="3"/>
        <v>0</v>
      </c>
      <c r="L15" s="23">
        <f t="shared" si="3"/>
        <v>0</v>
      </c>
      <c r="M15" s="66">
        <f t="shared" ref="M15:M34" si="4">C15/(100%-H15)</f>
        <v>19.603999999999999</v>
      </c>
      <c r="N15" s="23">
        <f t="shared" ref="N15:N34" si="5">D15/(100%-H15)</f>
        <v>0</v>
      </c>
      <c r="O15" s="23">
        <f t="shared" ref="O15:O34" si="6">E15/(100%-H15)</f>
        <v>19.603999999999999</v>
      </c>
      <c r="P15" s="23">
        <f t="shared" ref="P15:P34" si="7">F15/(100%-H15)</f>
        <v>0</v>
      </c>
      <c r="Q15" s="66">
        <f t="shared" si="0"/>
        <v>0.441</v>
      </c>
      <c r="R15" s="66">
        <f t="shared" ref="R15:U34" si="8">(C15+I15)/(100%-2.2%)</f>
        <v>20.045000000000002</v>
      </c>
      <c r="S15" s="23">
        <f t="shared" si="8"/>
        <v>0</v>
      </c>
      <c r="T15" s="23">
        <f t="shared" si="8"/>
        <v>20.045000000000002</v>
      </c>
      <c r="U15" s="23">
        <f t="shared" si="8"/>
        <v>0</v>
      </c>
      <c r="V15" s="33">
        <f t="shared" ref="V15:V35" si="9">R15-S15-T15-U15</f>
        <v>0</v>
      </c>
      <c r="X15" s="23"/>
      <c r="Y15" s="66">
        <f t="shared" ref="Y15:AB33" si="10">(C15+I15+Q15)/(100%-2.2%)</f>
        <v>20.495999999999999</v>
      </c>
      <c r="Z15" s="23">
        <f t="shared" si="10"/>
        <v>20.495999999999999</v>
      </c>
      <c r="AA15" s="23">
        <f t="shared" si="1"/>
        <v>20.045000000000002</v>
      </c>
      <c r="AB15" s="23">
        <f t="shared" si="1"/>
        <v>20.495999999999999</v>
      </c>
      <c r="AC15" s="33">
        <f t="shared" ref="AC15:AC34" si="11">Y15-Z15-AA15-AB15</f>
        <v>-40.54</v>
      </c>
    </row>
    <row r="16" spans="1:29" s="3" customFormat="1" ht="15.75">
      <c r="A16" s="22">
        <v>3</v>
      </c>
      <c r="B16" s="21" t="s">
        <v>217</v>
      </c>
      <c r="C16" s="92">
        <f t="shared" si="2"/>
        <v>46.798000000000002</v>
      </c>
      <c r="D16" s="20">
        <f>'[3]Річна потреба ТЕ на опалення'!Q15</f>
        <v>0</v>
      </c>
      <c r="E16" s="20">
        <f>'[3]Річна потреба ТЕ на опалення'!X16</f>
        <v>46.798000000000002</v>
      </c>
      <c r="F16" s="20">
        <f>'[3]Річна потреба ТЕ на опалення'!S15</f>
        <v>0</v>
      </c>
      <c r="G16" s="93">
        <v>42</v>
      </c>
      <c r="H16" s="93">
        <v>4.0000000000000001E-3</v>
      </c>
      <c r="I16" s="66">
        <f t="shared" si="3"/>
        <v>0.188</v>
      </c>
      <c r="J16" s="23">
        <f t="shared" si="3"/>
        <v>0</v>
      </c>
      <c r="K16" s="23">
        <f t="shared" si="3"/>
        <v>0.188</v>
      </c>
      <c r="L16" s="23">
        <f t="shared" si="3"/>
        <v>0</v>
      </c>
      <c r="M16" s="66">
        <f t="shared" si="4"/>
        <v>46.985999999999997</v>
      </c>
      <c r="N16" s="23">
        <f t="shared" si="5"/>
        <v>0</v>
      </c>
      <c r="O16" s="23">
        <f t="shared" si="6"/>
        <v>46.985999999999997</v>
      </c>
      <c r="P16" s="23">
        <f t="shared" si="7"/>
        <v>0</v>
      </c>
      <c r="Q16" s="66">
        <f t="shared" si="0"/>
        <v>1.0569999999999999</v>
      </c>
      <c r="R16" s="66">
        <f t="shared" si="8"/>
        <v>48.042999999999999</v>
      </c>
      <c r="S16" s="23">
        <f t="shared" si="8"/>
        <v>0</v>
      </c>
      <c r="T16" s="23">
        <f t="shared" si="8"/>
        <v>48.042999999999999</v>
      </c>
      <c r="U16" s="23">
        <f t="shared" si="8"/>
        <v>0</v>
      </c>
      <c r="V16" s="33">
        <f t="shared" si="9"/>
        <v>0</v>
      </c>
      <c r="X16" s="23"/>
      <c r="Y16" s="66">
        <f t="shared" si="10"/>
        <v>49.124000000000002</v>
      </c>
      <c r="Z16" s="23">
        <f t="shared" si="10"/>
        <v>49.124000000000002</v>
      </c>
      <c r="AA16" s="23">
        <f t="shared" si="1"/>
        <v>48.042999999999999</v>
      </c>
      <c r="AB16" s="23">
        <f t="shared" si="1"/>
        <v>49.124000000000002</v>
      </c>
      <c r="AC16" s="33">
        <f t="shared" si="11"/>
        <v>-97.17</v>
      </c>
    </row>
    <row r="17" spans="1:29" s="3" customFormat="1" ht="15.75">
      <c r="A17" s="72">
        <v>4</v>
      </c>
      <c r="B17" s="76" t="s">
        <v>218</v>
      </c>
      <c r="C17" s="94">
        <f t="shared" si="2"/>
        <v>11.067</v>
      </c>
      <c r="D17" s="20">
        <f>'[3]Річна потреба ТЕ на опалення'!T17</f>
        <v>0</v>
      </c>
      <c r="E17" s="20">
        <f>'[3]Річна потреба ТЕ на опалення'!U17</f>
        <v>0</v>
      </c>
      <c r="F17" s="20">
        <f>'[3]Річна потреба ТЕ на опалення'!Y17</f>
        <v>11.067</v>
      </c>
      <c r="G17" s="96">
        <f>0.02*1000</f>
        <v>20</v>
      </c>
      <c r="H17" s="205">
        <f>G17/100*1%</f>
        <v>2E-3</v>
      </c>
      <c r="I17" s="97">
        <f t="shared" si="3"/>
        <v>2.1999999999999999E-2</v>
      </c>
      <c r="J17" s="96">
        <f t="shared" si="3"/>
        <v>0</v>
      </c>
      <c r="K17" s="96">
        <f t="shared" si="3"/>
        <v>0</v>
      </c>
      <c r="L17" s="96">
        <f>P17-F17</f>
        <v>2.1999999999999999E-2</v>
      </c>
      <c r="M17" s="97">
        <f t="shared" si="4"/>
        <v>11.089</v>
      </c>
      <c r="N17" s="96">
        <f t="shared" si="5"/>
        <v>0</v>
      </c>
      <c r="O17" s="96">
        <f t="shared" si="6"/>
        <v>0</v>
      </c>
      <c r="P17" s="96">
        <f t="shared" si="7"/>
        <v>11.089</v>
      </c>
      <c r="Q17" s="66">
        <f t="shared" si="0"/>
        <v>0.249</v>
      </c>
      <c r="R17" s="66">
        <f t="shared" si="8"/>
        <v>11.337999999999999</v>
      </c>
      <c r="S17" s="23">
        <f t="shared" si="8"/>
        <v>0</v>
      </c>
      <c r="T17" s="23">
        <f t="shared" si="8"/>
        <v>0</v>
      </c>
      <c r="U17" s="23">
        <f t="shared" si="8"/>
        <v>11.337999999999999</v>
      </c>
      <c r="V17" s="33">
        <f t="shared" si="9"/>
        <v>0</v>
      </c>
      <c r="X17" s="96"/>
      <c r="Y17" s="97">
        <f t="shared" si="10"/>
        <v>11.593</v>
      </c>
      <c r="Z17" s="96">
        <f t="shared" si="10"/>
        <v>11.593</v>
      </c>
      <c r="AA17" s="96">
        <f t="shared" si="1"/>
        <v>0</v>
      </c>
      <c r="AB17" s="96">
        <f t="shared" si="1"/>
        <v>11.337999999999999</v>
      </c>
      <c r="AC17" s="33">
        <f t="shared" si="11"/>
        <v>-11.34</v>
      </c>
    </row>
    <row r="18" spans="1:29" s="3" customFormat="1" ht="15.75">
      <c r="A18" s="22">
        <v>5</v>
      </c>
      <c r="B18" s="21" t="s">
        <v>359</v>
      </c>
      <c r="C18" s="92">
        <f t="shared" si="2"/>
        <v>58.813000000000002</v>
      </c>
      <c r="D18" s="20">
        <f>'[3]Річна потреба ТЕ на опалення'!Q17</f>
        <v>0</v>
      </c>
      <c r="E18" s="20">
        <f>'[3]Річна потреба ТЕ на опалення'!X18</f>
        <v>58.813000000000002</v>
      </c>
      <c r="F18" s="20">
        <v>0</v>
      </c>
      <c r="G18" s="93">
        <f>0.07*1000</f>
        <v>70</v>
      </c>
      <c r="H18" s="206">
        <f>G18/100*1%</f>
        <v>7.0000000000000001E-3</v>
      </c>
      <c r="I18" s="66">
        <f t="shared" si="3"/>
        <v>0.41499999999999998</v>
      </c>
      <c r="J18" s="23">
        <f t="shared" si="3"/>
        <v>0</v>
      </c>
      <c r="K18" s="23">
        <f t="shared" si="3"/>
        <v>0.41499999999999998</v>
      </c>
      <c r="L18" s="23">
        <f t="shared" si="3"/>
        <v>0</v>
      </c>
      <c r="M18" s="66">
        <f t="shared" si="4"/>
        <v>59.228000000000002</v>
      </c>
      <c r="N18" s="23">
        <f t="shared" si="5"/>
        <v>0</v>
      </c>
      <c r="O18" s="23">
        <f t="shared" si="6"/>
        <v>59.228000000000002</v>
      </c>
      <c r="P18" s="23">
        <f t="shared" si="7"/>
        <v>0</v>
      </c>
      <c r="Q18" s="66">
        <f t="shared" si="0"/>
        <v>1.3320000000000001</v>
      </c>
      <c r="R18" s="66">
        <f t="shared" si="8"/>
        <v>60.56</v>
      </c>
      <c r="S18" s="23">
        <f t="shared" si="8"/>
        <v>0</v>
      </c>
      <c r="T18" s="23">
        <f t="shared" si="8"/>
        <v>60.56</v>
      </c>
      <c r="U18" s="23">
        <f t="shared" si="8"/>
        <v>0</v>
      </c>
      <c r="V18" s="33">
        <f t="shared" si="9"/>
        <v>0</v>
      </c>
      <c r="X18" s="23"/>
      <c r="Y18" s="66">
        <f t="shared" si="10"/>
        <v>61.921999999999997</v>
      </c>
      <c r="Z18" s="23">
        <f t="shared" si="10"/>
        <v>61.921999999999997</v>
      </c>
      <c r="AA18" s="23">
        <f t="shared" si="1"/>
        <v>60.56</v>
      </c>
      <c r="AB18" s="23">
        <f t="shared" si="1"/>
        <v>61.921999999999997</v>
      </c>
      <c r="AC18" s="33">
        <f t="shared" si="11"/>
        <v>-122.48</v>
      </c>
    </row>
    <row r="19" spans="1:29" s="3" customFormat="1" ht="15.75">
      <c r="A19" s="22">
        <v>6</v>
      </c>
      <c r="B19" s="21" t="s">
        <v>190</v>
      </c>
      <c r="C19" s="92">
        <f t="shared" si="2"/>
        <v>25.295999999999999</v>
      </c>
      <c r="D19" s="20">
        <f>'[3]Річна потреба ТЕ на опалення'!Q18</f>
        <v>0</v>
      </c>
      <c r="E19" s="20">
        <f>'[3]Річна потреба ТЕ на опалення'!X19</f>
        <v>25.295999999999999</v>
      </c>
      <c r="F19" s="20">
        <f>'[3]Річна потреба ТЕ на опалення'!S18</f>
        <v>0</v>
      </c>
      <c r="G19" s="93">
        <v>23</v>
      </c>
      <c r="H19" s="206">
        <v>2.3E-3</v>
      </c>
      <c r="I19" s="66">
        <f t="shared" si="3"/>
        <v>5.8000000000000003E-2</v>
      </c>
      <c r="J19" s="23">
        <f t="shared" si="3"/>
        <v>0</v>
      </c>
      <c r="K19" s="23">
        <f t="shared" si="3"/>
        <v>5.8000000000000003E-2</v>
      </c>
      <c r="L19" s="23">
        <f t="shared" si="3"/>
        <v>0</v>
      </c>
      <c r="M19" s="66">
        <f t="shared" si="4"/>
        <v>25.353999999999999</v>
      </c>
      <c r="N19" s="23">
        <f t="shared" si="5"/>
        <v>0</v>
      </c>
      <c r="O19" s="23">
        <f t="shared" si="6"/>
        <v>25.353999999999999</v>
      </c>
      <c r="P19" s="23">
        <f t="shared" si="7"/>
        <v>0</v>
      </c>
      <c r="Q19" s="66">
        <f t="shared" si="0"/>
        <v>0.56999999999999995</v>
      </c>
      <c r="R19" s="66">
        <f t="shared" si="8"/>
        <v>25.923999999999999</v>
      </c>
      <c r="S19" s="23">
        <f t="shared" si="8"/>
        <v>0</v>
      </c>
      <c r="T19" s="23">
        <f t="shared" si="8"/>
        <v>25.923999999999999</v>
      </c>
      <c r="U19" s="23">
        <f t="shared" si="8"/>
        <v>0</v>
      </c>
      <c r="V19" s="33">
        <f t="shared" si="9"/>
        <v>0</v>
      </c>
      <c r="X19" s="23"/>
      <c r="Y19" s="66">
        <f t="shared" si="10"/>
        <v>26.507000000000001</v>
      </c>
      <c r="Z19" s="23">
        <f t="shared" si="10"/>
        <v>26.507000000000001</v>
      </c>
      <c r="AA19" s="23">
        <f t="shared" si="1"/>
        <v>25.923999999999999</v>
      </c>
      <c r="AB19" s="23">
        <f t="shared" si="1"/>
        <v>26.507000000000001</v>
      </c>
      <c r="AC19" s="33">
        <f t="shared" si="11"/>
        <v>-52.43</v>
      </c>
    </row>
    <row r="20" spans="1:29" s="3" customFormat="1" ht="15.75">
      <c r="A20" s="22">
        <v>7</v>
      </c>
      <c r="B20" s="21" t="s">
        <v>360</v>
      </c>
      <c r="C20" s="92">
        <f t="shared" si="2"/>
        <v>35.192999999999998</v>
      </c>
      <c r="D20" s="20">
        <f>'[3]Річна потреба ТЕ на опалення'!Q19</f>
        <v>0</v>
      </c>
      <c r="E20" s="20">
        <f>'[3]Річна потреба ТЕ на опалення'!X23</f>
        <v>35.192999999999998</v>
      </c>
      <c r="F20" s="20">
        <f>'[3]Річна потреба ТЕ на опалення'!S19</f>
        <v>0</v>
      </c>
      <c r="G20" s="23">
        <v>225.5</v>
      </c>
      <c r="H20" s="207">
        <v>2.2599999999999999E-2</v>
      </c>
      <c r="I20" s="66">
        <f t="shared" si="3"/>
        <v>0.81399999999999995</v>
      </c>
      <c r="J20" s="23">
        <f t="shared" si="3"/>
        <v>0</v>
      </c>
      <c r="K20" s="23">
        <f t="shared" si="3"/>
        <v>0.81399999999999995</v>
      </c>
      <c r="L20" s="23">
        <f t="shared" si="3"/>
        <v>0</v>
      </c>
      <c r="M20" s="66">
        <f t="shared" si="4"/>
        <v>36.006999999999998</v>
      </c>
      <c r="N20" s="23">
        <f t="shared" si="5"/>
        <v>0</v>
      </c>
      <c r="O20" s="23">
        <f t="shared" si="6"/>
        <v>36.006999999999998</v>
      </c>
      <c r="P20" s="23">
        <f t="shared" si="7"/>
        <v>0</v>
      </c>
      <c r="Q20" s="66">
        <f t="shared" si="0"/>
        <v>0.81</v>
      </c>
      <c r="R20" s="66">
        <f t="shared" si="8"/>
        <v>36.817</v>
      </c>
      <c r="S20" s="23">
        <f t="shared" si="8"/>
        <v>0</v>
      </c>
      <c r="T20" s="23">
        <f t="shared" si="8"/>
        <v>36.817</v>
      </c>
      <c r="U20" s="23">
        <f t="shared" si="8"/>
        <v>0</v>
      </c>
      <c r="V20" s="33"/>
      <c r="X20" s="23"/>
      <c r="Y20" s="66">
        <f t="shared" si="10"/>
        <v>37.645000000000003</v>
      </c>
      <c r="Z20" s="23">
        <f t="shared" si="10"/>
        <v>37.645000000000003</v>
      </c>
      <c r="AA20" s="23">
        <f t="shared" si="1"/>
        <v>36.817</v>
      </c>
      <c r="AB20" s="23">
        <f t="shared" si="1"/>
        <v>37.645000000000003</v>
      </c>
      <c r="AC20" s="33"/>
    </row>
    <row r="21" spans="1:29" s="3" customFormat="1" ht="15.75">
      <c r="A21" s="22">
        <v>8</v>
      </c>
      <c r="B21" s="21" t="s">
        <v>168</v>
      </c>
      <c r="C21" s="92">
        <f t="shared" si="2"/>
        <v>32.252000000000002</v>
      </c>
      <c r="D21" s="20">
        <f>'[3]Річна потреба ТЕ на опалення'!Q20</f>
        <v>0</v>
      </c>
      <c r="E21" s="20">
        <f>'[3]Річна потреба ТЕ на опалення'!X24</f>
        <v>32.252000000000002</v>
      </c>
      <c r="F21" s="20">
        <f>'[3]Річна потреба ТЕ на опалення'!S20</f>
        <v>0</v>
      </c>
      <c r="G21" s="20"/>
      <c r="H21" s="207"/>
      <c r="I21" s="66">
        <f t="shared" si="3"/>
        <v>0</v>
      </c>
      <c r="J21" s="23">
        <f t="shared" si="3"/>
        <v>0</v>
      </c>
      <c r="K21" s="23">
        <f t="shared" si="3"/>
        <v>0</v>
      </c>
      <c r="L21" s="23">
        <f t="shared" si="3"/>
        <v>0</v>
      </c>
      <c r="M21" s="66">
        <f t="shared" si="4"/>
        <v>32.252000000000002</v>
      </c>
      <c r="N21" s="23">
        <f>D21/(100%-H21)</f>
        <v>0</v>
      </c>
      <c r="O21" s="23">
        <f>E21/(100%-H21)</f>
        <v>32.252000000000002</v>
      </c>
      <c r="P21" s="23">
        <f>F21/(100%-H21)</f>
        <v>0</v>
      </c>
      <c r="Q21" s="66">
        <f t="shared" si="0"/>
        <v>0.72599999999999998</v>
      </c>
      <c r="R21" s="66">
        <f t="shared" si="8"/>
        <v>32.978000000000002</v>
      </c>
      <c r="S21" s="23">
        <f t="shared" si="8"/>
        <v>0</v>
      </c>
      <c r="T21" s="23">
        <f t="shared" si="8"/>
        <v>32.978000000000002</v>
      </c>
      <c r="U21" s="23">
        <f t="shared" si="8"/>
        <v>0</v>
      </c>
      <c r="V21" s="33"/>
      <c r="X21" s="23"/>
      <c r="Y21" s="66">
        <f t="shared" si="10"/>
        <v>33.72</v>
      </c>
      <c r="Z21" s="23">
        <f t="shared" si="10"/>
        <v>33.72</v>
      </c>
      <c r="AA21" s="23">
        <f t="shared" si="1"/>
        <v>32.978000000000002</v>
      </c>
      <c r="AB21" s="23">
        <f t="shared" si="1"/>
        <v>33.72</v>
      </c>
      <c r="AC21" s="33">
        <f t="shared" si="11"/>
        <v>-66.7</v>
      </c>
    </row>
    <row r="22" spans="1:29" s="3" customFormat="1" ht="15.75">
      <c r="A22" s="22">
        <v>9</v>
      </c>
      <c r="B22" s="21" t="s">
        <v>221</v>
      </c>
      <c r="C22" s="92">
        <f>D22+E22+F22</f>
        <v>2.2450000000000001</v>
      </c>
      <c r="D22" s="20">
        <f>'[3]Річна потреба ТЕ на опалення'!Q21</f>
        <v>0</v>
      </c>
      <c r="E22" s="20">
        <f>'[3]Річна потреба ТЕ на опалення'!X25</f>
        <v>2.2450000000000001</v>
      </c>
      <c r="F22" s="20">
        <f>'[3]Річна потреба ТЕ на опалення'!S21</f>
        <v>0</v>
      </c>
      <c r="G22" s="23"/>
      <c r="H22" s="207"/>
      <c r="I22" s="66">
        <f t="shared" si="3"/>
        <v>0</v>
      </c>
      <c r="J22" s="23">
        <f t="shared" si="3"/>
        <v>0</v>
      </c>
      <c r="K22" s="23">
        <f t="shared" si="3"/>
        <v>0</v>
      </c>
      <c r="L22" s="23">
        <f t="shared" si="3"/>
        <v>0</v>
      </c>
      <c r="M22" s="66">
        <f>C22/(100%-H22)</f>
        <v>2.2450000000000001</v>
      </c>
      <c r="N22" s="23">
        <f>D22/(100%-H22)</f>
        <v>0</v>
      </c>
      <c r="O22" s="23">
        <f>E22/(100%-H22)</f>
        <v>2.2450000000000001</v>
      </c>
      <c r="P22" s="23">
        <f>F22/(100%-H22)</f>
        <v>0</v>
      </c>
      <c r="Q22" s="66">
        <f t="shared" si="0"/>
        <v>5.0999999999999997E-2</v>
      </c>
      <c r="R22" s="66">
        <f t="shared" si="8"/>
        <v>2.2959999999999998</v>
      </c>
      <c r="S22" s="23">
        <f t="shared" si="8"/>
        <v>0</v>
      </c>
      <c r="T22" s="23">
        <f t="shared" si="8"/>
        <v>2.2959999999999998</v>
      </c>
      <c r="U22" s="23">
        <f t="shared" si="8"/>
        <v>0</v>
      </c>
      <c r="V22" s="33" t="e">
        <f>#REF!-#REF!-#REF!-#REF!</f>
        <v>#REF!</v>
      </c>
      <c r="X22" s="23"/>
      <c r="Y22" s="66">
        <f t="shared" si="10"/>
        <v>2.3479999999999999</v>
      </c>
      <c r="Z22" s="23">
        <f t="shared" si="10"/>
        <v>2.3479999999999999</v>
      </c>
      <c r="AA22" s="23">
        <f t="shared" si="1"/>
        <v>2.2959999999999998</v>
      </c>
      <c r="AB22" s="23">
        <f t="shared" si="1"/>
        <v>2.3479999999999999</v>
      </c>
      <c r="AC22" s="33">
        <f t="shared" si="11"/>
        <v>-4.6399999999999997</v>
      </c>
    </row>
    <row r="23" spans="1:29" s="3" customFormat="1" ht="15.75">
      <c r="A23" s="22">
        <v>10</v>
      </c>
      <c r="B23" s="21" t="s">
        <v>222</v>
      </c>
      <c r="C23" s="98">
        <f>D23+E23+F23</f>
        <v>8.1259999999999994</v>
      </c>
      <c r="D23" s="20">
        <f>'[3]Річна потреба ТЕ на опалення'!Q22</f>
        <v>0</v>
      </c>
      <c r="E23" s="20">
        <f>'[3]Річна потреба ТЕ на опалення'!X26</f>
        <v>8.1259999999999994</v>
      </c>
      <c r="F23" s="20">
        <f>'[3]Річна потреба ТЕ на опалення'!S22</f>
        <v>0</v>
      </c>
      <c r="G23" s="30"/>
      <c r="H23" s="31"/>
      <c r="I23" s="99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99">
        <f>C23/(100%-H23)</f>
        <v>8.1259999999999994</v>
      </c>
      <c r="N23" s="30">
        <f>D23/(100%-H23)</f>
        <v>0</v>
      </c>
      <c r="O23" s="30">
        <f>E23/(100%-H23)</f>
        <v>8.1259999999999994</v>
      </c>
      <c r="P23" s="30">
        <f>F23/(100%-H23)</f>
        <v>0</v>
      </c>
      <c r="Q23" s="66">
        <f t="shared" si="0"/>
        <v>0.183</v>
      </c>
      <c r="R23" s="66">
        <f t="shared" si="8"/>
        <v>8.3089999999999993</v>
      </c>
      <c r="S23" s="23">
        <f t="shared" si="8"/>
        <v>0</v>
      </c>
      <c r="T23" s="23">
        <f t="shared" si="8"/>
        <v>8.3089999999999993</v>
      </c>
      <c r="U23" s="23">
        <f t="shared" si="8"/>
        <v>0</v>
      </c>
      <c r="V23" s="33">
        <f>R22-S22-T22-U22</f>
        <v>0</v>
      </c>
      <c r="X23" s="23"/>
      <c r="Y23" s="66">
        <f t="shared" si="10"/>
        <v>8.4960000000000004</v>
      </c>
      <c r="Z23" s="23">
        <f t="shared" si="10"/>
        <v>8.4960000000000004</v>
      </c>
      <c r="AA23" s="23">
        <f t="shared" si="1"/>
        <v>8.3089999999999993</v>
      </c>
      <c r="AB23" s="23">
        <f t="shared" si="1"/>
        <v>8.4960000000000004</v>
      </c>
      <c r="AC23" s="33">
        <f t="shared" si="11"/>
        <v>-16.809999999999999</v>
      </c>
    </row>
    <row r="24" spans="1:29" s="3" customFormat="1" ht="15.75">
      <c r="A24" s="22">
        <v>11</v>
      </c>
      <c r="B24" s="21" t="s">
        <v>223</v>
      </c>
      <c r="C24" s="98">
        <f>D24+E24+F24</f>
        <v>85.69</v>
      </c>
      <c r="D24" s="20">
        <f>'[3]Річна потреба ТЕ на опалення'!Q23</f>
        <v>0</v>
      </c>
      <c r="E24" s="20">
        <f>'[3]Річна потреба ТЕ на опалення'!X27</f>
        <v>85.69</v>
      </c>
      <c r="F24" s="20">
        <f>'[3]Річна потреба ТЕ на опалення'!S23</f>
        <v>0</v>
      </c>
      <c r="G24" s="30"/>
      <c r="H24" s="31"/>
      <c r="I24" s="99">
        <f t="shared" si="3"/>
        <v>0</v>
      </c>
      <c r="J24" s="30">
        <f t="shared" si="3"/>
        <v>0</v>
      </c>
      <c r="K24" s="30">
        <f t="shared" si="3"/>
        <v>0</v>
      </c>
      <c r="L24" s="30">
        <f t="shared" si="3"/>
        <v>0</v>
      </c>
      <c r="M24" s="99">
        <f>C24/(100%-H24)</f>
        <v>85.69</v>
      </c>
      <c r="N24" s="30">
        <f>D24/(100%-H24)</f>
        <v>0</v>
      </c>
      <c r="O24" s="30">
        <f>E24/(100%-H24)</f>
        <v>85.69</v>
      </c>
      <c r="P24" s="30">
        <f>F24/(100%-H24)</f>
        <v>0</v>
      </c>
      <c r="Q24" s="66">
        <f t="shared" si="0"/>
        <v>1.9279999999999999</v>
      </c>
      <c r="R24" s="66">
        <f t="shared" si="8"/>
        <v>87.617999999999995</v>
      </c>
      <c r="S24" s="23">
        <f t="shared" si="8"/>
        <v>0</v>
      </c>
      <c r="T24" s="23">
        <f t="shared" si="8"/>
        <v>87.617999999999995</v>
      </c>
      <c r="U24" s="23">
        <f t="shared" si="8"/>
        <v>0</v>
      </c>
      <c r="V24" s="33">
        <f>R23-S23-T23-U23</f>
        <v>0</v>
      </c>
      <c r="X24" s="23"/>
      <c r="Y24" s="66">
        <f t="shared" si="10"/>
        <v>89.588999999999999</v>
      </c>
      <c r="Z24" s="23">
        <f t="shared" si="10"/>
        <v>89.588999999999999</v>
      </c>
      <c r="AA24" s="23">
        <f t="shared" si="1"/>
        <v>87.617999999999995</v>
      </c>
      <c r="AB24" s="23">
        <f t="shared" si="1"/>
        <v>89.588999999999999</v>
      </c>
      <c r="AC24" s="33">
        <f t="shared" si="11"/>
        <v>-177.21</v>
      </c>
    </row>
    <row r="25" spans="1:29" s="3" customFormat="1" ht="15.75">
      <c r="A25" s="22">
        <v>12</v>
      </c>
      <c r="B25" s="21" t="s">
        <v>224</v>
      </c>
      <c r="C25" s="92">
        <f t="shared" si="2"/>
        <v>405.70100000000002</v>
      </c>
      <c r="D25" s="20">
        <f>'[3]Річна потреба ТЕ на опалення'!W44</f>
        <v>35.097999999999999</v>
      </c>
      <c r="E25" s="20">
        <f>'[3]Річна потреба ТЕ на опалення'!X44</f>
        <v>342.85700000000003</v>
      </c>
      <c r="F25" s="20">
        <f>'[3]Річна потреба ТЕ на опалення'!Y44</f>
        <v>27.745999999999999</v>
      </c>
      <c r="G25" s="20">
        <v>1464</v>
      </c>
      <c r="H25" s="209">
        <v>7.5800000000000006E-2</v>
      </c>
      <c r="I25" s="92">
        <f t="shared" si="3"/>
        <v>33.274000000000001</v>
      </c>
      <c r="J25" s="20">
        <f t="shared" si="3"/>
        <v>2.879</v>
      </c>
      <c r="K25" s="20">
        <f t="shared" si="3"/>
        <v>28.12</v>
      </c>
      <c r="L25" s="20">
        <f t="shared" si="3"/>
        <v>2.2759999999999998</v>
      </c>
      <c r="M25" s="92">
        <f t="shared" si="4"/>
        <v>438.97500000000002</v>
      </c>
      <c r="N25" s="20">
        <f t="shared" si="5"/>
        <v>37.976999999999997</v>
      </c>
      <c r="O25" s="20">
        <f t="shared" si="6"/>
        <v>370.97699999999998</v>
      </c>
      <c r="P25" s="20">
        <f t="shared" si="7"/>
        <v>30.021999999999998</v>
      </c>
      <c r="Q25" s="66">
        <f t="shared" si="0"/>
        <v>9.875</v>
      </c>
      <c r="R25" s="66">
        <f t="shared" si="8"/>
        <v>448.85</v>
      </c>
      <c r="S25" s="23">
        <f t="shared" si="8"/>
        <v>38.831000000000003</v>
      </c>
      <c r="T25" s="23">
        <f t="shared" si="8"/>
        <v>379.322</v>
      </c>
      <c r="U25" s="23">
        <f t="shared" si="8"/>
        <v>30.696999999999999</v>
      </c>
      <c r="V25" s="33">
        <f t="shared" si="9"/>
        <v>0</v>
      </c>
      <c r="X25" s="23"/>
      <c r="Y25" s="66">
        <f t="shared" si="10"/>
        <v>458.947</v>
      </c>
      <c r="Z25" s="23">
        <f t="shared" si="10"/>
        <v>497.77800000000002</v>
      </c>
      <c r="AA25" s="23">
        <f t="shared" si="1"/>
        <v>419.02699999999999</v>
      </c>
      <c r="AB25" s="23">
        <f t="shared" si="1"/>
        <v>418.55200000000002</v>
      </c>
      <c r="AC25" s="33">
        <f t="shared" si="11"/>
        <v>-876.41</v>
      </c>
    </row>
    <row r="26" spans="1:29" s="3" customFormat="1" ht="15.75">
      <c r="A26" s="22">
        <v>13</v>
      </c>
      <c r="B26" s="21" t="s">
        <v>225</v>
      </c>
      <c r="C26" s="92">
        <f t="shared" si="2"/>
        <v>393.06799999999998</v>
      </c>
      <c r="D26" s="20">
        <f>'[3]Річна потреба ТЕ на опалення'!W52</f>
        <v>39.209000000000003</v>
      </c>
      <c r="E26" s="20">
        <f>'[3]Річна потреба ТЕ на опалення'!X52</f>
        <v>297.22800000000001</v>
      </c>
      <c r="F26" s="20">
        <f>'[3]Річна потреба ТЕ на опалення'!Y52</f>
        <v>56.631</v>
      </c>
      <c r="G26" s="23">
        <v>1398</v>
      </c>
      <c r="H26" s="207">
        <v>7.1900000000000006E-2</v>
      </c>
      <c r="I26" s="66">
        <f t="shared" si="3"/>
        <v>30.451000000000001</v>
      </c>
      <c r="J26" s="23">
        <f t="shared" si="3"/>
        <v>3.0379999999999998</v>
      </c>
      <c r="K26" s="23">
        <f t="shared" si="3"/>
        <v>23.026</v>
      </c>
      <c r="L26" s="23">
        <f t="shared" si="3"/>
        <v>4.3869999999999996</v>
      </c>
      <c r="M26" s="66">
        <f t="shared" si="4"/>
        <v>423.51900000000001</v>
      </c>
      <c r="N26" s="23">
        <f t="shared" si="5"/>
        <v>42.247</v>
      </c>
      <c r="O26" s="23">
        <f t="shared" si="6"/>
        <v>320.25400000000002</v>
      </c>
      <c r="P26" s="23">
        <f t="shared" si="7"/>
        <v>61.018000000000001</v>
      </c>
      <c r="Q26" s="66">
        <f t="shared" si="0"/>
        <v>9.5269999999999992</v>
      </c>
      <c r="R26" s="66">
        <f t="shared" si="8"/>
        <v>433.04599999999999</v>
      </c>
      <c r="S26" s="23">
        <f t="shared" si="8"/>
        <v>43.197000000000003</v>
      </c>
      <c r="T26" s="23">
        <f t="shared" si="8"/>
        <v>327.45800000000003</v>
      </c>
      <c r="U26" s="23">
        <f t="shared" si="8"/>
        <v>62.390999999999998</v>
      </c>
      <c r="V26" s="33">
        <f t="shared" si="9"/>
        <v>0</v>
      </c>
      <c r="X26" s="23"/>
      <c r="Y26" s="66">
        <f t="shared" si="10"/>
        <v>442.78699999999998</v>
      </c>
      <c r="Z26" s="23">
        <f t="shared" si="10"/>
        <v>485.98500000000001</v>
      </c>
      <c r="AA26" s="23">
        <f t="shared" si="10"/>
        <v>371.62700000000001</v>
      </c>
      <c r="AB26" s="23">
        <f t="shared" si="10"/>
        <v>397.21499999999997</v>
      </c>
      <c r="AC26" s="33">
        <f t="shared" si="11"/>
        <v>-812.04</v>
      </c>
    </row>
    <row r="27" spans="1:29" s="3" customFormat="1" ht="15.75">
      <c r="A27" s="22">
        <v>14</v>
      </c>
      <c r="B27" s="21" t="s">
        <v>169</v>
      </c>
      <c r="C27" s="92">
        <f t="shared" si="2"/>
        <v>71.144999999999996</v>
      </c>
      <c r="D27" s="20">
        <f>'[3]Річна потреба ТЕ на опалення'!Q26</f>
        <v>0</v>
      </c>
      <c r="E27" s="20">
        <f>'[3]Річна потреба ТЕ на опалення'!X53</f>
        <v>71.144999999999996</v>
      </c>
      <c r="F27" s="20">
        <f>'[3]Річна потреба ТЕ на опалення'!S26</f>
        <v>0</v>
      </c>
      <c r="G27" s="23"/>
      <c r="H27" s="207"/>
      <c r="I27" s="66">
        <f t="shared" si="3"/>
        <v>0</v>
      </c>
      <c r="J27" s="23">
        <f t="shared" si="3"/>
        <v>0</v>
      </c>
      <c r="K27" s="23">
        <f t="shared" si="3"/>
        <v>0</v>
      </c>
      <c r="L27" s="23">
        <f t="shared" si="3"/>
        <v>0</v>
      </c>
      <c r="M27" s="66">
        <f t="shared" si="4"/>
        <v>71.144999999999996</v>
      </c>
      <c r="N27" s="23">
        <f t="shared" si="5"/>
        <v>0</v>
      </c>
      <c r="O27" s="23">
        <f t="shared" si="6"/>
        <v>71.144999999999996</v>
      </c>
      <c r="P27" s="23">
        <f t="shared" si="7"/>
        <v>0</v>
      </c>
      <c r="Q27" s="66">
        <f t="shared" si="0"/>
        <v>1.6</v>
      </c>
      <c r="R27" s="66">
        <f t="shared" si="8"/>
        <v>72.745000000000005</v>
      </c>
      <c r="S27" s="23">
        <f t="shared" si="8"/>
        <v>0</v>
      </c>
      <c r="T27" s="23">
        <f t="shared" si="8"/>
        <v>72.745000000000005</v>
      </c>
      <c r="U27" s="23">
        <f t="shared" si="8"/>
        <v>0</v>
      </c>
      <c r="V27" s="33">
        <f t="shared" si="9"/>
        <v>0</v>
      </c>
      <c r="X27" s="23"/>
      <c r="Y27" s="66">
        <f t="shared" si="10"/>
        <v>74.381</v>
      </c>
      <c r="Z27" s="23">
        <f t="shared" si="10"/>
        <v>74.381</v>
      </c>
      <c r="AA27" s="23">
        <f t="shared" si="10"/>
        <v>72.745000000000005</v>
      </c>
      <c r="AB27" s="23">
        <f t="shared" si="10"/>
        <v>74.381</v>
      </c>
      <c r="AC27" s="33">
        <f t="shared" si="11"/>
        <v>-147.13</v>
      </c>
    </row>
    <row r="28" spans="1:29" s="3" customFormat="1" ht="15.75">
      <c r="A28" s="22">
        <v>15</v>
      </c>
      <c r="B28" s="21" t="s">
        <v>362</v>
      </c>
      <c r="C28" s="92">
        <f t="shared" si="2"/>
        <v>101.184</v>
      </c>
      <c r="D28" s="20">
        <f>'[3]Річна потреба ТЕ на опалення'!Q27</f>
        <v>0</v>
      </c>
      <c r="E28" s="20">
        <f>'[3]Річна потреба ТЕ на опалення'!X54</f>
        <v>101.184</v>
      </c>
      <c r="F28" s="20">
        <f>'[3]Річна потреба ТЕ на опалення'!S27</f>
        <v>0</v>
      </c>
      <c r="G28" s="23">
        <v>7.5</v>
      </c>
      <c r="H28" s="207">
        <v>8.0000000000000004E-4</v>
      </c>
      <c r="I28" s="66">
        <f t="shared" si="3"/>
        <v>8.1000000000000003E-2</v>
      </c>
      <c r="J28" s="23">
        <f t="shared" si="3"/>
        <v>0</v>
      </c>
      <c r="K28" s="23">
        <f t="shared" si="3"/>
        <v>8.1000000000000003E-2</v>
      </c>
      <c r="L28" s="23">
        <f t="shared" si="3"/>
        <v>0</v>
      </c>
      <c r="M28" s="66">
        <f t="shared" si="4"/>
        <v>101.265</v>
      </c>
      <c r="N28" s="23">
        <f t="shared" si="5"/>
        <v>0</v>
      </c>
      <c r="O28" s="23">
        <f t="shared" si="6"/>
        <v>101.265</v>
      </c>
      <c r="P28" s="23">
        <f t="shared" si="7"/>
        <v>0</v>
      </c>
      <c r="Q28" s="66">
        <f t="shared" si="0"/>
        <v>2.278</v>
      </c>
      <c r="R28" s="66">
        <f t="shared" si="8"/>
        <v>103.54300000000001</v>
      </c>
      <c r="S28" s="23">
        <f t="shared" si="8"/>
        <v>0</v>
      </c>
      <c r="T28" s="23">
        <f t="shared" si="8"/>
        <v>103.54300000000001</v>
      </c>
      <c r="U28" s="23">
        <f t="shared" si="8"/>
        <v>0</v>
      </c>
      <c r="V28" s="33">
        <f t="shared" si="9"/>
        <v>0</v>
      </c>
      <c r="X28" s="23"/>
      <c r="Y28" s="66">
        <f t="shared" si="10"/>
        <v>105.872</v>
      </c>
      <c r="Z28" s="23">
        <f t="shared" si="10"/>
        <v>105.872</v>
      </c>
      <c r="AA28" s="23">
        <f t="shared" si="10"/>
        <v>103.54300000000001</v>
      </c>
      <c r="AB28" s="23">
        <f t="shared" si="10"/>
        <v>105.872</v>
      </c>
      <c r="AC28" s="33">
        <f t="shared" si="11"/>
        <v>-209.42</v>
      </c>
    </row>
    <row r="29" spans="1:29" s="3" customFormat="1" ht="15.75">
      <c r="A29" s="22">
        <v>16</v>
      </c>
      <c r="B29" s="21" t="s">
        <v>226</v>
      </c>
      <c r="C29" s="92">
        <f>D29+E29+F29</f>
        <v>67.983000000000004</v>
      </c>
      <c r="D29" s="20">
        <f>'[3]Річна потреба ТЕ на опалення'!T55</f>
        <v>0</v>
      </c>
      <c r="E29" s="20">
        <f>'[3]Річна потреба ТЕ на опалення'!X55+'[3]Річна потреба ТЕ на опалення'!X56</f>
        <v>67.983000000000004</v>
      </c>
      <c r="F29" s="20">
        <f>'[3]Річна потреба ТЕ на опалення'!S28</f>
        <v>0</v>
      </c>
      <c r="G29" s="23"/>
      <c r="H29" s="207"/>
      <c r="I29" s="66">
        <f t="shared" si="3"/>
        <v>0</v>
      </c>
      <c r="J29" s="23">
        <f t="shared" si="3"/>
        <v>0</v>
      </c>
      <c r="K29" s="23">
        <f t="shared" si="3"/>
        <v>0</v>
      </c>
      <c r="L29" s="23">
        <f t="shared" si="3"/>
        <v>0</v>
      </c>
      <c r="M29" s="66">
        <f t="shared" si="4"/>
        <v>67.983000000000004</v>
      </c>
      <c r="N29" s="23">
        <f t="shared" si="5"/>
        <v>0</v>
      </c>
      <c r="O29" s="23">
        <f t="shared" si="6"/>
        <v>67.983000000000004</v>
      </c>
      <c r="P29" s="23">
        <f t="shared" si="7"/>
        <v>0</v>
      </c>
      <c r="Q29" s="66">
        <f t="shared" si="0"/>
        <v>1.5289999999999999</v>
      </c>
      <c r="R29" s="66">
        <f t="shared" si="8"/>
        <v>69.512</v>
      </c>
      <c r="S29" s="23">
        <f t="shared" si="8"/>
        <v>0</v>
      </c>
      <c r="T29" s="23">
        <f t="shared" si="8"/>
        <v>69.512</v>
      </c>
      <c r="U29" s="23">
        <f t="shared" si="8"/>
        <v>0</v>
      </c>
      <c r="V29" s="33">
        <f t="shared" si="9"/>
        <v>0</v>
      </c>
      <c r="X29" s="23"/>
      <c r="Y29" s="66">
        <f t="shared" si="10"/>
        <v>71.075999999999993</v>
      </c>
      <c r="Z29" s="23">
        <f t="shared" si="10"/>
        <v>71.075999999999993</v>
      </c>
      <c r="AA29" s="23">
        <f t="shared" si="10"/>
        <v>69.512</v>
      </c>
      <c r="AB29" s="23">
        <f t="shared" si="10"/>
        <v>71.075999999999993</v>
      </c>
      <c r="AC29" s="33">
        <f t="shared" si="11"/>
        <v>-140.59</v>
      </c>
    </row>
    <row r="30" spans="1:29" s="3" customFormat="1" ht="15.75">
      <c r="A30" s="22">
        <v>17</v>
      </c>
      <c r="B30" s="21" t="s">
        <v>227</v>
      </c>
      <c r="C30" s="92">
        <f t="shared" si="2"/>
        <v>64.820999999999998</v>
      </c>
      <c r="D30" s="20">
        <f>'[3]Річна потреба ТЕ на опалення'!T56</f>
        <v>0</v>
      </c>
      <c r="E30" s="20">
        <f>'[3]Річна потреба ТЕ на опалення'!X57</f>
        <v>64.820999999999998</v>
      </c>
      <c r="F30" s="20">
        <f>'[3]Річна потреба ТЕ на опалення'!S29</f>
        <v>0</v>
      </c>
      <c r="G30" s="23"/>
      <c r="H30" s="207"/>
      <c r="I30" s="66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66">
        <f t="shared" si="4"/>
        <v>64.820999999999998</v>
      </c>
      <c r="N30" s="23">
        <f t="shared" si="5"/>
        <v>0</v>
      </c>
      <c r="O30" s="23">
        <f t="shared" si="6"/>
        <v>64.820999999999998</v>
      </c>
      <c r="P30" s="23">
        <f t="shared" si="7"/>
        <v>0</v>
      </c>
      <c r="Q30" s="66">
        <f t="shared" si="0"/>
        <v>1.458</v>
      </c>
      <c r="R30" s="66">
        <f t="shared" si="8"/>
        <v>66.278999999999996</v>
      </c>
      <c r="S30" s="23">
        <f t="shared" si="8"/>
        <v>0</v>
      </c>
      <c r="T30" s="23">
        <f t="shared" si="8"/>
        <v>66.278999999999996</v>
      </c>
      <c r="U30" s="23">
        <f t="shared" si="8"/>
        <v>0</v>
      </c>
      <c r="V30" s="33">
        <f t="shared" si="9"/>
        <v>0</v>
      </c>
      <c r="X30" s="23"/>
      <c r="Y30" s="66">
        <f t="shared" si="10"/>
        <v>67.77</v>
      </c>
      <c r="Z30" s="23">
        <f t="shared" si="10"/>
        <v>67.77</v>
      </c>
      <c r="AA30" s="23">
        <f t="shared" si="10"/>
        <v>66.278999999999996</v>
      </c>
      <c r="AB30" s="23">
        <f t="shared" si="10"/>
        <v>67.77</v>
      </c>
      <c r="AC30" s="33">
        <f t="shared" si="11"/>
        <v>-134.05000000000001</v>
      </c>
    </row>
    <row r="31" spans="1:29" s="3" customFormat="1" ht="15.75">
      <c r="A31" s="22">
        <v>18</v>
      </c>
      <c r="B31" s="21" t="s">
        <v>363</v>
      </c>
      <c r="C31" s="92">
        <f t="shared" si="2"/>
        <v>20.236999999999998</v>
      </c>
      <c r="D31" s="20">
        <f>'[3]Річна потреба ТЕ на опалення'!T57</f>
        <v>0</v>
      </c>
      <c r="E31" s="20">
        <f>'[3]Річна потреба ТЕ на опалення'!X58+'[3]Річна потреба ТЕ на опалення'!X59</f>
        <v>20.236999999999998</v>
      </c>
      <c r="F31" s="20">
        <f>'[3]Річна потреба ТЕ на опалення'!S30</f>
        <v>0</v>
      </c>
      <c r="G31" s="23"/>
      <c r="H31" s="207"/>
      <c r="I31" s="66">
        <f t="shared" si="3"/>
        <v>0</v>
      </c>
      <c r="J31" s="23">
        <f t="shared" si="3"/>
        <v>0</v>
      </c>
      <c r="K31" s="23">
        <f t="shared" si="3"/>
        <v>0</v>
      </c>
      <c r="L31" s="23">
        <f t="shared" si="3"/>
        <v>0</v>
      </c>
      <c r="M31" s="66">
        <f t="shared" si="4"/>
        <v>20.236999999999998</v>
      </c>
      <c r="N31" s="23">
        <f t="shared" si="5"/>
        <v>0</v>
      </c>
      <c r="O31" s="23">
        <f t="shared" si="6"/>
        <v>20.236999999999998</v>
      </c>
      <c r="P31" s="23">
        <f t="shared" si="7"/>
        <v>0</v>
      </c>
      <c r="Q31" s="66">
        <f t="shared" si="0"/>
        <v>0.45500000000000002</v>
      </c>
      <c r="R31" s="66">
        <f t="shared" si="8"/>
        <v>20.692</v>
      </c>
      <c r="S31" s="23">
        <f t="shared" si="8"/>
        <v>0</v>
      </c>
      <c r="T31" s="23">
        <f t="shared" si="8"/>
        <v>20.692</v>
      </c>
      <c r="U31" s="23">
        <f t="shared" si="8"/>
        <v>0</v>
      </c>
      <c r="V31" s="33">
        <f t="shared" si="9"/>
        <v>0</v>
      </c>
      <c r="X31" s="23"/>
      <c r="Y31" s="66">
        <f t="shared" si="10"/>
        <v>21.157</v>
      </c>
      <c r="Z31" s="23">
        <f t="shared" si="10"/>
        <v>21.157</v>
      </c>
      <c r="AA31" s="23">
        <f t="shared" si="10"/>
        <v>20.692</v>
      </c>
      <c r="AB31" s="23">
        <f t="shared" si="10"/>
        <v>21.157</v>
      </c>
      <c r="AC31" s="33">
        <f t="shared" si="11"/>
        <v>-41.85</v>
      </c>
    </row>
    <row r="32" spans="1:29" s="3" customFormat="1" ht="15.75">
      <c r="A32" s="22">
        <v>19</v>
      </c>
      <c r="B32" s="21" t="s">
        <v>228</v>
      </c>
      <c r="C32" s="92">
        <f t="shared" si="2"/>
        <v>164.04499999999999</v>
      </c>
      <c r="D32" s="20">
        <f>'[3]Річна потреба ТЕ на опалення'!T58</f>
        <v>0</v>
      </c>
      <c r="E32" s="20">
        <f>'[3]Річна потреба ТЕ на опалення'!X60+'[3]Річна потреба ТЕ на опалення'!X61+'[3]Річна потреба ТЕ на опалення'!X62</f>
        <v>164.04499999999999</v>
      </c>
      <c r="F32" s="20">
        <f>'[3]Річна потреба ТЕ на опалення'!S31</f>
        <v>0</v>
      </c>
      <c r="G32" s="23"/>
      <c r="H32" s="207"/>
      <c r="I32" s="66">
        <f t="shared" si="3"/>
        <v>0</v>
      </c>
      <c r="J32" s="23">
        <f t="shared" si="3"/>
        <v>0</v>
      </c>
      <c r="K32" s="23">
        <f t="shared" si="3"/>
        <v>0</v>
      </c>
      <c r="L32" s="23">
        <f t="shared" si="3"/>
        <v>0</v>
      </c>
      <c r="M32" s="66">
        <f t="shared" si="4"/>
        <v>164.04499999999999</v>
      </c>
      <c r="N32" s="23">
        <f t="shared" si="5"/>
        <v>0</v>
      </c>
      <c r="O32" s="23">
        <f t="shared" si="6"/>
        <v>164.04499999999999</v>
      </c>
      <c r="P32" s="23">
        <f t="shared" si="7"/>
        <v>0</v>
      </c>
      <c r="Q32" s="66">
        <f t="shared" si="0"/>
        <v>3.69</v>
      </c>
      <c r="R32" s="66">
        <f t="shared" si="8"/>
        <v>167.73500000000001</v>
      </c>
      <c r="S32" s="23">
        <f t="shared" si="8"/>
        <v>0</v>
      </c>
      <c r="T32" s="23">
        <f t="shared" si="8"/>
        <v>167.73500000000001</v>
      </c>
      <c r="U32" s="23">
        <f t="shared" si="8"/>
        <v>0</v>
      </c>
      <c r="V32" s="33">
        <f t="shared" si="9"/>
        <v>0</v>
      </c>
      <c r="X32" s="23"/>
      <c r="Y32" s="66">
        <f t="shared" si="10"/>
        <v>171.50800000000001</v>
      </c>
      <c r="Z32" s="23">
        <f t="shared" si="10"/>
        <v>171.50800000000001</v>
      </c>
      <c r="AA32" s="23">
        <f t="shared" si="10"/>
        <v>167.73500000000001</v>
      </c>
      <c r="AB32" s="23">
        <f t="shared" si="10"/>
        <v>171.50800000000001</v>
      </c>
      <c r="AC32" s="33">
        <f t="shared" si="11"/>
        <v>-339.24</v>
      </c>
    </row>
    <row r="33" spans="1:29" s="3" customFormat="1" ht="16.5" thickBot="1">
      <c r="A33" s="25">
        <v>20</v>
      </c>
      <c r="B33" s="21" t="s">
        <v>229</v>
      </c>
      <c r="C33" s="92">
        <f t="shared" si="2"/>
        <v>65.516999999999996</v>
      </c>
      <c r="D33" s="20">
        <f>'[3]Річна потреба ТЕ на опалення'!T59</f>
        <v>0</v>
      </c>
      <c r="E33" s="20">
        <f>'[3]Річна потреба ТЕ на опалення'!X63+'[3]Річна потреба ТЕ на опалення'!X64</f>
        <v>65.516999999999996</v>
      </c>
      <c r="F33" s="20">
        <f>'[3]Річна потреба ТЕ на опалення'!S32</f>
        <v>0</v>
      </c>
      <c r="G33" s="23">
        <v>21</v>
      </c>
      <c r="H33" s="207">
        <v>2.0999999999999999E-3</v>
      </c>
      <c r="I33" s="66">
        <f t="shared" si="3"/>
        <v>0.13800000000000001</v>
      </c>
      <c r="J33" s="23">
        <f t="shared" si="3"/>
        <v>0</v>
      </c>
      <c r="K33" s="23">
        <f t="shared" si="3"/>
        <v>0.13800000000000001</v>
      </c>
      <c r="L33" s="23">
        <f t="shared" si="3"/>
        <v>0</v>
      </c>
      <c r="M33" s="66">
        <f t="shared" si="4"/>
        <v>65.655000000000001</v>
      </c>
      <c r="N33" s="23">
        <f t="shared" si="5"/>
        <v>0</v>
      </c>
      <c r="O33" s="23">
        <f t="shared" si="6"/>
        <v>65.655000000000001</v>
      </c>
      <c r="P33" s="23">
        <f t="shared" si="7"/>
        <v>0</v>
      </c>
      <c r="Q33" s="66">
        <f t="shared" si="0"/>
        <v>1.4770000000000001</v>
      </c>
      <c r="R33" s="66">
        <f t="shared" si="8"/>
        <v>67.132000000000005</v>
      </c>
      <c r="S33" s="23">
        <f t="shared" si="8"/>
        <v>0</v>
      </c>
      <c r="T33" s="23">
        <f t="shared" si="8"/>
        <v>67.132000000000005</v>
      </c>
      <c r="U33" s="23">
        <f t="shared" si="8"/>
        <v>0</v>
      </c>
      <c r="V33" s="33">
        <f t="shared" si="9"/>
        <v>0</v>
      </c>
      <c r="X33" s="30"/>
      <c r="Y33" s="99">
        <f t="shared" si="10"/>
        <v>68.641999999999996</v>
      </c>
      <c r="Z33" s="30">
        <f t="shared" si="10"/>
        <v>68.641999999999996</v>
      </c>
      <c r="AA33" s="30">
        <f t="shared" si="10"/>
        <v>67.132000000000005</v>
      </c>
      <c r="AB33" s="30">
        <f t="shared" si="10"/>
        <v>68.641999999999996</v>
      </c>
      <c r="AC33" s="33">
        <f t="shared" si="11"/>
        <v>-135.77000000000001</v>
      </c>
    </row>
    <row r="34" spans="1:29" s="3" customFormat="1" ht="18" customHeight="1" thickBot="1">
      <c r="A34" s="26">
        <v>21</v>
      </c>
      <c r="B34" s="27" t="s">
        <v>230</v>
      </c>
      <c r="C34" s="92">
        <f t="shared" si="2"/>
        <v>14.324</v>
      </c>
      <c r="D34" s="20">
        <f>'[3]Річна потреба ТЕ на опалення'!T60</f>
        <v>0</v>
      </c>
      <c r="E34" s="20">
        <f>'[3]Річна потреба ТЕ на опалення'!X65</f>
        <v>14.324</v>
      </c>
      <c r="F34" s="20">
        <f>'[3]Річна потреба ТЕ на опалення'!S33</f>
        <v>0</v>
      </c>
      <c r="G34" s="30">
        <v>38.5</v>
      </c>
      <c r="H34" s="31">
        <v>3.8999999999999998E-3</v>
      </c>
      <c r="I34" s="99">
        <f t="shared" si="3"/>
        <v>5.6000000000000001E-2</v>
      </c>
      <c r="J34" s="30">
        <f t="shared" si="3"/>
        <v>0</v>
      </c>
      <c r="K34" s="30">
        <f t="shared" si="3"/>
        <v>5.6000000000000001E-2</v>
      </c>
      <c r="L34" s="30">
        <f t="shared" si="3"/>
        <v>0</v>
      </c>
      <c r="M34" s="99">
        <f t="shared" si="4"/>
        <v>14.38</v>
      </c>
      <c r="N34" s="30">
        <f t="shared" si="5"/>
        <v>0</v>
      </c>
      <c r="O34" s="30">
        <f t="shared" si="6"/>
        <v>14.38</v>
      </c>
      <c r="P34" s="30">
        <f t="shared" si="7"/>
        <v>0</v>
      </c>
      <c r="Q34" s="66">
        <f t="shared" si="0"/>
        <v>0.32300000000000001</v>
      </c>
      <c r="R34" s="66">
        <f t="shared" si="8"/>
        <v>14.702999999999999</v>
      </c>
      <c r="S34" s="23">
        <f t="shared" si="8"/>
        <v>0</v>
      </c>
      <c r="T34" s="23">
        <f t="shared" si="8"/>
        <v>14.702999999999999</v>
      </c>
      <c r="U34" s="23">
        <f t="shared" si="8"/>
        <v>0</v>
      </c>
      <c r="V34" s="33">
        <f t="shared" si="9"/>
        <v>0</v>
      </c>
      <c r="X34" s="7"/>
      <c r="Y34" s="7">
        <f>SUM(Y14:Y33)</f>
        <v>1866.498</v>
      </c>
      <c r="Z34" s="7">
        <f>SUM(Z14:Z33)</f>
        <v>1948.527</v>
      </c>
      <c r="AA34" s="7">
        <f>SUM(AA14:AA33)</f>
        <v>1722.856</v>
      </c>
      <c r="AB34" s="7">
        <f>SUM(AB14:AB33)</f>
        <v>1780.2760000000001</v>
      </c>
      <c r="AC34" s="33">
        <f t="shared" si="11"/>
        <v>-3585.16</v>
      </c>
    </row>
    <row r="35" spans="1:29" s="3" customFormat="1" ht="16.5" thickBot="1">
      <c r="A35" s="4"/>
      <c r="B35" s="4" t="s">
        <v>161</v>
      </c>
      <c r="C35" s="7">
        <f>SUM(C14:C34)</f>
        <v>1733.914</v>
      </c>
      <c r="D35" s="7">
        <f>SUM(D14:D34)</f>
        <v>74.307000000000002</v>
      </c>
      <c r="E35" s="7">
        <f>SUM(E14:E34)</f>
        <v>1564.163</v>
      </c>
      <c r="F35" s="7">
        <f>SUM(F14:F34)</f>
        <v>95.444000000000003</v>
      </c>
      <c r="G35" s="7">
        <f>SUM(G14:G34)</f>
        <v>3369.5</v>
      </c>
      <c r="H35" s="9">
        <f>I35/M35</f>
        <v>3.6499999999999998E-2</v>
      </c>
      <c r="I35" s="7">
        <f t="shared" ref="I35:Q35" si="12">SUM(I14:I34)</f>
        <v>65.742999999999995</v>
      </c>
      <c r="J35" s="7">
        <f t="shared" si="12"/>
        <v>5.9169999999999998</v>
      </c>
      <c r="K35" s="7">
        <f t="shared" si="12"/>
        <v>53.142000000000003</v>
      </c>
      <c r="L35" s="7">
        <f t="shared" si="12"/>
        <v>6.6849999999999996</v>
      </c>
      <c r="M35" s="7">
        <f t="shared" si="12"/>
        <v>1799.6569999999999</v>
      </c>
      <c r="N35" s="7">
        <f t="shared" si="12"/>
        <v>80.224000000000004</v>
      </c>
      <c r="O35" s="7">
        <f t="shared" si="12"/>
        <v>1617.3050000000001</v>
      </c>
      <c r="P35" s="7">
        <f t="shared" si="12"/>
        <v>102.129</v>
      </c>
      <c r="Q35" s="7">
        <f t="shared" si="12"/>
        <v>40.481999999999999</v>
      </c>
      <c r="R35" s="7">
        <f>SUM(R14:R34)</f>
        <v>1840.1389999999999</v>
      </c>
      <c r="S35" s="7">
        <f>SUM(S14:S34)</f>
        <v>82.028000000000006</v>
      </c>
      <c r="T35" s="7">
        <f>SUM(T14:T34)</f>
        <v>1653.6849999999999</v>
      </c>
      <c r="U35" s="7">
        <f>SUM(U14:U34)</f>
        <v>104.426</v>
      </c>
      <c r="V35" s="33">
        <f t="shared" si="9"/>
        <v>0</v>
      </c>
      <c r="Y35" s="1"/>
    </row>
    <row r="36" spans="1:29" s="3" customFormat="1" ht="15.75">
      <c r="C36" s="1"/>
      <c r="I36" s="1"/>
      <c r="J36" s="1"/>
      <c r="K36" s="1"/>
      <c r="L36" s="1"/>
      <c r="M36" s="1"/>
      <c r="Q36" s="1"/>
      <c r="R36" s="1"/>
      <c r="Y36" s="1"/>
    </row>
    <row r="37" spans="1:29" s="3" customFormat="1" ht="15.75">
      <c r="C37" s="1"/>
      <c r="D37" s="57"/>
      <c r="E37" s="57"/>
      <c r="F37" s="57"/>
      <c r="I37" s="1"/>
      <c r="J37" s="1"/>
      <c r="K37" s="1"/>
      <c r="L37" s="1"/>
      <c r="M37" s="1"/>
      <c r="Q37" s="1"/>
      <c r="R37" s="1"/>
      <c r="X37" s="34"/>
      <c r="Y37" s="210">
        <f>Y34-Y17-Y21-Y22</f>
        <v>1818.837</v>
      </c>
    </row>
    <row r="38" spans="1:29" s="3" customFormat="1" ht="15.75">
      <c r="C38" s="1"/>
      <c r="I38" s="1"/>
      <c r="J38" s="1"/>
      <c r="K38" s="1"/>
      <c r="L38" s="1"/>
      <c r="M38" s="1"/>
      <c r="Q38" s="383">
        <f>R35-R17-R22-R23</f>
        <v>1818.1959999999999</v>
      </c>
      <c r="R38" s="210"/>
      <c r="U38" s="34">
        <f>[3]Січень!Q39+[3]Лютий!Q41+[3]Березень!Q40</f>
        <v>6274.1559999999999</v>
      </c>
      <c r="Y38" s="1"/>
    </row>
    <row r="39" spans="1:29" s="3" customFormat="1" ht="15.75">
      <c r="C39" s="1"/>
      <c r="H39" s="56"/>
      <c r="I39" s="1"/>
      <c r="J39" s="1"/>
      <c r="K39" s="1"/>
      <c r="L39" s="1"/>
      <c r="M39" s="1"/>
      <c r="Q39" s="1"/>
      <c r="R39" s="1"/>
      <c r="Y39" s="210">
        <f>Y34-Y21-Y22</f>
        <v>1830.43</v>
      </c>
      <c r="Z39" s="3" t="s">
        <v>379</v>
      </c>
    </row>
    <row r="40" spans="1:29" ht="15.75">
      <c r="A40" s="3"/>
      <c r="B40" s="3"/>
      <c r="C40" s="1"/>
      <c r="D40" s="3"/>
      <c r="E40" s="3"/>
      <c r="F40" s="3"/>
      <c r="G40" s="3"/>
      <c r="H40" s="56"/>
      <c r="I40" s="1"/>
      <c r="J40" s="1"/>
      <c r="K40" s="1"/>
      <c r="L40" s="1"/>
      <c r="M40" s="1"/>
      <c r="N40" s="3"/>
      <c r="O40" s="3"/>
      <c r="P40" s="3"/>
      <c r="Q40" s="210">
        <f>R35-R22-R23</f>
        <v>1829.5340000000001</v>
      </c>
      <c r="R40" s="210">
        <f>[3]Січень!R17+[3]Лютий!R17+[3]Березень!R17</f>
        <v>38.664000000000001</v>
      </c>
      <c r="S40" s="3"/>
      <c r="T40" s="3"/>
      <c r="U40" s="34">
        <f>[3]Січень!R40+[3]Лютий!Q39+[3]Березень!Q38</f>
        <v>6235.4920000000002</v>
      </c>
      <c r="V40" s="3"/>
      <c r="W40" s="3"/>
    </row>
    <row r="41" spans="1:29" ht="15.75">
      <c r="B41" s="12" t="s">
        <v>95</v>
      </c>
      <c r="R41" s="210"/>
      <c r="U41" s="181"/>
    </row>
    <row r="42" spans="1:29">
      <c r="R42" s="2"/>
      <c r="U42" s="181"/>
    </row>
    <row r="43" spans="1:29">
      <c r="R43" s="2"/>
      <c r="U43" s="181"/>
    </row>
    <row r="44" spans="1:29">
      <c r="R44" s="2"/>
      <c r="U44" s="181"/>
    </row>
    <row r="45" spans="1:29" ht="15">
      <c r="H45" s="384">
        <f>J35/N35</f>
        <v>7.3800000000000004E-2</v>
      </c>
      <c r="R45" s="2"/>
      <c r="U45" s="181"/>
    </row>
    <row r="46" spans="1:29" ht="15">
      <c r="H46" s="384">
        <f>K35/O35</f>
        <v>3.2899999999999999E-2</v>
      </c>
      <c r="R46" s="2"/>
      <c r="U46" s="181"/>
    </row>
    <row r="47" spans="1:29" ht="15">
      <c r="H47" s="384">
        <f>L35/P35</f>
        <v>6.5500000000000003E-2</v>
      </c>
      <c r="R47" s="2"/>
      <c r="U47" s="181"/>
    </row>
    <row r="48" spans="1:29">
      <c r="R48" s="2"/>
      <c r="U48" s="181"/>
    </row>
  </sheetData>
  <mergeCells count="29">
    <mergeCell ref="Z7:Z12"/>
    <mergeCell ref="AA7:AA12"/>
    <mergeCell ref="AB7:AB12"/>
    <mergeCell ref="T7:T12"/>
    <mergeCell ref="U7:U12"/>
    <mergeCell ref="X7:X12"/>
    <mergeCell ref="Y7:Y12"/>
    <mergeCell ref="C2:S2"/>
    <mergeCell ref="C3:S3"/>
    <mergeCell ref="G5:M5"/>
    <mergeCell ref="G7:G12"/>
    <mergeCell ref="P7:P12"/>
    <mergeCell ref="Q7:Q12"/>
    <mergeCell ref="R7:R12"/>
    <mergeCell ref="S7:S12"/>
    <mergeCell ref="L7:L12"/>
    <mergeCell ref="M7:M12"/>
    <mergeCell ref="N7:N12"/>
    <mergeCell ref="O7:O12"/>
    <mergeCell ref="F7:F12"/>
    <mergeCell ref="H7:H12"/>
    <mergeCell ref="I7:I12"/>
    <mergeCell ref="J7:J12"/>
    <mergeCell ref="K7:K12"/>
    <mergeCell ref="A7:A12"/>
    <mergeCell ref="B7:B12"/>
    <mergeCell ref="C7:C12"/>
    <mergeCell ref="D7:D12"/>
    <mergeCell ref="E7:E12"/>
  </mergeCells>
  <phoneticPr fontId="2" type="noConversion"/>
  <pageMargins left="0.75" right="0.75" top="1" bottom="1" header="0.5" footer="0.5"/>
  <pageSetup paperSize="9" scale="44" orientation="landscape" verticalDpi="0" r:id="rId1"/>
  <headerFooter alignWithMargins="0"/>
  <colBreaks count="1" manualBreakCount="1"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10"/>
  </sheetPr>
  <dimension ref="A2:AC48"/>
  <sheetViews>
    <sheetView topLeftCell="E1" zoomScale="75" zoomScaleNormal="75" workbookViewId="0">
      <selection activeCell="E39" sqref="E39"/>
    </sheetView>
  </sheetViews>
  <sheetFormatPr defaultRowHeight="12.75"/>
  <cols>
    <col min="1" max="1" width="4.42578125" style="181" customWidth="1"/>
    <col min="2" max="2" width="41.140625" style="181" customWidth="1"/>
    <col min="3" max="3" width="12.85546875" style="2" customWidth="1"/>
    <col min="4" max="4" width="12.140625" style="181" customWidth="1"/>
    <col min="5" max="5" width="11" style="181" customWidth="1"/>
    <col min="6" max="6" width="11.5703125" style="181" customWidth="1"/>
    <col min="7" max="7" width="15.42578125" style="181" customWidth="1"/>
    <col min="8" max="8" width="11.140625" style="186" customWidth="1"/>
    <col min="9" max="9" width="10.140625" style="2" customWidth="1"/>
    <col min="10" max="12" width="12.85546875" style="2" customWidth="1"/>
    <col min="13" max="13" width="15.5703125" style="2" customWidth="1"/>
    <col min="14" max="14" width="12.140625" style="181" customWidth="1"/>
    <col min="15" max="15" width="13.140625" style="181" customWidth="1"/>
    <col min="16" max="16" width="11.5703125" style="181" customWidth="1"/>
    <col min="17" max="17" width="19.42578125" style="2" customWidth="1"/>
    <col min="18" max="18" width="11.5703125" style="181" customWidth="1"/>
    <col min="19" max="19" width="11.28515625" style="181" customWidth="1"/>
    <col min="20" max="20" width="12.140625" style="181" customWidth="1"/>
    <col min="21" max="21" width="19.5703125" style="2" customWidth="1"/>
    <col min="22" max="22" width="12.42578125" style="181" customWidth="1"/>
    <col min="23" max="23" width="11.42578125" style="181" customWidth="1"/>
    <col min="24" max="24" width="11.7109375" style="181" customWidth="1"/>
    <col min="25" max="25" width="15.5703125" style="2" customWidth="1"/>
    <col min="26" max="26" width="12.28515625" style="181" customWidth="1"/>
    <col min="27" max="27" width="10.85546875" style="181" customWidth="1"/>
    <col min="28" max="28" width="11.140625" style="181" customWidth="1"/>
    <col min="29" max="16384" width="9.140625" style="181"/>
  </cols>
  <sheetData>
    <row r="2" spans="1:29" ht="18">
      <c r="C2" s="528" t="s">
        <v>311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1:29" ht="18">
      <c r="C3" s="528" t="s">
        <v>172</v>
      </c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</row>
    <row r="4" spans="1:29" ht="21" customHeight="1">
      <c r="J4" s="3" t="s">
        <v>312</v>
      </c>
      <c r="K4" s="65"/>
      <c r="L4" s="65"/>
      <c r="M4" s="64"/>
      <c r="N4" s="62">
        <f>'[3]Вхідні дані'!E36</f>
        <v>10</v>
      </c>
      <c r="O4" s="3" t="s">
        <v>313</v>
      </c>
    </row>
    <row r="5" spans="1:29" ht="15.75">
      <c r="A5" s="54"/>
      <c r="B5" s="54"/>
      <c r="C5" s="54"/>
      <c r="D5" s="54"/>
      <c r="E5" s="54"/>
      <c r="F5" s="54"/>
      <c r="G5" s="547" t="s">
        <v>314</v>
      </c>
      <c r="H5" s="547"/>
      <c r="I5" s="547"/>
      <c r="J5" s="547"/>
      <c r="K5" s="547"/>
      <c r="L5" s="547"/>
      <c r="M5" s="547"/>
      <c r="N5" s="62">
        <v>24</v>
      </c>
      <c r="O5" s="63" t="s">
        <v>313</v>
      </c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9" ht="13.5" thickBot="1"/>
    <row r="7" spans="1:29" s="3" customFormat="1" ht="15" customHeight="1">
      <c r="A7" s="508" t="s">
        <v>179</v>
      </c>
      <c r="B7" s="508" t="s">
        <v>235</v>
      </c>
      <c r="C7" s="508" t="s">
        <v>307</v>
      </c>
      <c r="D7" s="548" t="s">
        <v>284</v>
      </c>
      <c r="E7" s="548" t="s">
        <v>285</v>
      </c>
      <c r="F7" s="548" t="s">
        <v>286</v>
      </c>
      <c r="G7" s="551" t="s">
        <v>315</v>
      </c>
      <c r="H7" s="558" t="s">
        <v>316</v>
      </c>
      <c r="I7" s="556" t="s">
        <v>304</v>
      </c>
      <c r="J7" s="554" t="s">
        <v>284</v>
      </c>
      <c r="K7" s="554" t="s">
        <v>285</v>
      </c>
      <c r="L7" s="554" t="s">
        <v>286</v>
      </c>
      <c r="M7" s="556" t="s">
        <v>310</v>
      </c>
      <c r="N7" s="554" t="s">
        <v>284</v>
      </c>
      <c r="O7" s="554" t="s">
        <v>285</v>
      </c>
      <c r="P7" s="554" t="s">
        <v>286</v>
      </c>
      <c r="Q7" s="556" t="s">
        <v>305</v>
      </c>
      <c r="R7" s="556" t="s">
        <v>306</v>
      </c>
      <c r="S7" s="554" t="s">
        <v>284</v>
      </c>
      <c r="T7" s="554" t="s">
        <v>285</v>
      </c>
      <c r="U7" s="554" t="s">
        <v>286</v>
      </c>
      <c r="W7" s="554" t="s">
        <v>285</v>
      </c>
      <c r="X7" s="554" t="s">
        <v>286</v>
      </c>
      <c r="Y7" s="556" t="s">
        <v>306</v>
      </c>
      <c r="Z7" s="554" t="s">
        <v>284</v>
      </c>
      <c r="AA7" s="554" t="s">
        <v>285</v>
      </c>
      <c r="AB7" s="554" t="s">
        <v>286</v>
      </c>
    </row>
    <row r="8" spans="1:29" s="3" customFormat="1" ht="13.5" customHeight="1">
      <c r="A8" s="509"/>
      <c r="B8" s="509"/>
      <c r="C8" s="509"/>
      <c r="D8" s="549"/>
      <c r="E8" s="549"/>
      <c r="F8" s="549"/>
      <c r="G8" s="552"/>
      <c r="H8" s="559"/>
      <c r="I8" s="557"/>
      <c r="J8" s="555"/>
      <c r="K8" s="555"/>
      <c r="L8" s="555"/>
      <c r="M8" s="557"/>
      <c r="N8" s="555"/>
      <c r="O8" s="555"/>
      <c r="P8" s="555"/>
      <c r="Q8" s="557"/>
      <c r="R8" s="557"/>
      <c r="S8" s="555"/>
      <c r="T8" s="555"/>
      <c r="U8" s="555"/>
      <c r="W8" s="555"/>
      <c r="X8" s="555"/>
      <c r="Y8" s="557"/>
      <c r="Z8" s="555"/>
      <c r="AA8" s="555"/>
      <c r="AB8" s="555"/>
    </row>
    <row r="9" spans="1:29" s="3" customFormat="1" ht="15" customHeight="1">
      <c r="A9" s="509"/>
      <c r="B9" s="509"/>
      <c r="C9" s="509"/>
      <c r="D9" s="549"/>
      <c r="E9" s="549"/>
      <c r="F9" s="549"/>
      <c r="G9" s="552"/>
      <c r="H9" s="559"/>
      <c r="I9" s="557"/>
      <c r="J9" s="555"/>
      <c r="K9" s="555"/>
      <c r="L9" s="555"/>
      <c r="M9" s="557"/>
      <c r="N9" s="555"/>
      <c r="O9" s="555"/>
      <c r="P9" s="555"/>
      <c r="Q9" s="557"/>
      <c r="R9" s="557"/>
      <c r="S9" s="555"/>
      <c r="T9" s="555"/>
      <c r="U9" s="555"/>
      <c r="W9" s="555"/>
      <c r="X9" s="555"/>
      <c r="Y9" s="557"/>
      <c r="Z9" s="555"/>
      <c r="AA9" s="555"/>
      <c r="AB9" s="555"/>
    </row>
    <row r="10" spans="1:29" s="3" customFormat="1" ht="15" customHeight="1">
      <c r="A10" s="509"/>
      <c r="B10" s="509"/>
      <c r="C10" s="509"/>
      <c r="D10" s="549"/>
      <c r="E10" s="549"/>
      <c r="F10" s="549"/>
      <c r="G10" s="552"/>
      <c r="H10" s="559"/>
      <c r="I10" s="557"/>
      <c r="J10" s="555"/>
      <c r="K10" s="555"/>
      <c r="L10" s="555"/>
      <c r="M10" s="557"/>
      <c r="N10" s="555"/>
      <c r="O10" s="555"/>
      <c r="P10" s="555"/>
      <c r="Q10" s="557"/>
      <c r="R10" s="557"/>
      <c r="S10" s="555"/>
      <c r="T10" s="555"/>
      <c r="U10" s="555"/>
      <c r="W10" s="555"/>
      <c r="X10" s="555"/>
      <c r="Y10" s="557"/>
      <c r="Z10" s="555"/>
      <c r="AA10" s="555"/>
      <c r="AB10" s="555"/>
    </row>
    <row r="11" spans="1:29" s="3" customFormat="1" ht="12.75" customHeight="1">
      <c r="A11" s="509"/>
      <c r="B11" s="509"/>
      <c r="C11" s="509"/>
      <c r="D11" s="549"/>
      <c r="E11" s="549"/>
      <c r="F11" s="549"/>
      <c r="G11" s="552"/>
      <c r="H11" s="559"/>
      <c r="I11" s="557"/>
      <c r="J11" s="555"/>
      <c r="K11" s="555"/>
      <c r="L11" s="555"/>
      <c r="M11" s="557"/>
      <c r="N11" s="555"/>
      <c r="O11" s="555"/>
      <c r="P11" s="555"/>
      <c r="Q11" s="557"/>
      <c r="R11" s="557"/>
      <c r="S11" s="555"/>
      <c r="T11" s="555"/>
      <c r="U11" s="555"/>
      <c r="W11" s="555"/>
      <c r="X11" s="555"/>
      <c r="Y11" s="557"/>
      <c r="Z11" s="555"/>
      <c r="AA11" s="555"/>
      <c r="AB11" s="555"/>
    </row>
    <row r="12" spans="1:29" s="3" customFormat="1" ht="15.75" customHeight="1" thickBot="1">
      <c r="A12" s="510"/>
      <c r="B12" s="510"/>
      <c r="C12" s="510"/>
      <c r="D12" s="550"/>
      <c r="E12" s="550"/>
      <c r="F12" s="550"/>
      <c r="G12" s="553"/>
      <c r="H12" s="559"/>
      <c r="I12" s="557"/>
      <c r="J12" s="555"/>
      <c r="K12" s="555"/>
      <c r="L12" s="555"/>
      <c r="M12" s="557"/>
      <c r="N12" s="555"/>
      <c r="O12" s="555"/>
      <c r="P12" s="555"/>
      <c r="Q12" s="557"/>
      <c r="R12" s="557"/>
      <c r="S12" s="555"/>
      <c r="T12" s="555"/>
      <c r="U12" s="555"/>
      <c r="W12" s="555"/>
      <c r="X12" s="555"/>
      <c r="Y12" s="557"/>
      <c r="Z12" s="555"/>
      <c r="AA12" s="555"/>
      <c r="AB12" s="555"/>
    </row>
    <row r="13" spans="1:29" s="3" customFormat="1" ht="16.5" thickBo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21</v>
      </c>
      <c r="R13" s="52">
        <v>25</v>
      </c>
      <c r="S13" s="6">
        <v>26</v>
      </c>
      <c r="T13" s="6">
        <v>27</v>
      </c>
      <c r="U13" s="6">
        <v>28</v>
      </c>
      <c r="W13" s="6">
        <v>23</v>
      </c>
      <c r="X13" s="6">
        <v>24</v>
      </c>
      <c r="Y13" s="52">
        <v>25</v>
      </c>
      <c r="Z13" s="6">
        <v>26</v>
      </c>
      <c r="AA13" s="6">
        <v>27</v>
      </c>
      <c r="AB13" s="6">
        <v>28</v>
      </c>
    </row>
    <row r="14" spans="1:29" s="3" customFormat="1" ht="15.75">
      <c r="A14" s="16">
        <v>1</v>
      </c>
      <c r="B14" s="17" t="s">
        <v>216</v>
      </c>
      <c r="C14" s="92">
        <f>D14+E14+F14</f>
        <v>9.0180000000000007</v>
      </c>
      <c r="D14" s="20">
        <f>'[3]Річна потреба ТЕ на опалення'!Q13</f>
        <v>0</v>
      </c>
      <c r="E14" s="20">
        <f>'[3]Річна потреба ТЕ на опалення'!AA13</f>
        <v>9.0180000000000007</v>
      </c>
      <c r="F14" s="20">
        <f>'[3]Річна потреба ТЕ на опалення'!S13</f>
        <v>0</v>
      </c>
      <c r="G14" s="20">
        <v>60</v>
      </c>
      <c r="H14" s="23">
        <v>6.0000000000000001E-3</v>
      </c>
      <c r="I14" s="66">
        <f>M14-C14</f>
        <v>5.3999999999999999E-2</v>
      </c>
      <c r="J14" s="23">
        <f>N14-D14</f>
        <v>0</v>
      </c>
      <c r="K14" s="23">
        <f>O14-E14</f>
        <v>5.3999999999999999E-2</v>
      </c>
      <c r="L14" s="23">
        <f>P14-F14</f>
        <v>0</v>
      </c>
      <c r="M14" s="66">
        <f>C14/(100%-$H$14)</f>
        <v>9.0719999999999992</v>
      </c>
      <c r="N14" s="23">
        <f>D14/(100%-H14)</f>
        <v>0</v>
      </c>
      <c r="O14" s="23">
        <f>E14/(100%-H14)</f>
        <v>9.0719999999999992</v>
      </c>
      <c r="P14" s="23">
        <f>F14/(100%-H14)</f>
        <v>0</v>
      </c>
      <c r="Q14" s="66">
        <f t="shared" ref="Q14:Q34" si="0">R14-M14</f>
        <v>0.20399999999999999</v>
      </c>
      <c r="R14" s="66">
        <f>(C14+I14)/(100%-2.2%)</f>
        <v>9.2759999999999998</v>
      </c>
      <c r="S14" s="23">
        <f>(D14+J14)/(100%-2.2%)</f>
        <v>0</v>
      </c>
      <c r="T14" s="23">
        <f>(E14+K14)/(100%-2.2%)</f>
        <v>9.2759999999999998</v>
      </c>
      <c r="U14" s="23">
        <f>(F14+L14)/(100%-2.2%)</f>
        <v>0</v>
      </c>
      <c r="V14" s="33">
        <f>R14-S14-T14-U14</f>
        <v>0</v>
      </c>
      <c r="W14" s="23"/>
      <c r="X14" s="23"/>
      <c r="Y14" s="66">
        <f>(C14+I14+Q14)/(100%-2.2%)</f>
        <v>9.4849999999999994</v>
      </c>
      <c r="Z14" s="23">
        <f>(D14+J14+R14)/(100%-2.2%)</f>
        <v>9.4849999999999994</v>
      </c>
      <c r="AA14" s="23">
        <f t="shared" ref="AA14:AB25" si="1">(E14+K14+S14)/(100%-2.2%)</f>
        <v>9.2759999999999998</v>
      </c>
      <c r="AB14" s="23">
        <f t="shared" si="1"/>
        <v>9.4849999999999994</v>
      </c>
      <c r="AC14" s="33">
        <f>Y14-Z14-AA14-AB14</f>
        <v>-18.760000000000002</v>
      </c>
    </row>
    <row r="15" spans="1:29" s="3" customFormat="1" ht="15.75">
      <c r="A15" s="16">
        <v>2</v>
      </c>
      <c r="B15" s="21" t="s">
        <v>189</v>
      </c>
      <c r="C15" s="92">
        <f t="shared" ref="C15:C34" si="2">D15+E15+F15</f>
        <v>3.3479999999999999</v>
      </c>
      <c r="D15" s="20">
        <f>'[3]Річна потреба ТЕ на опалення'!Q14</f>
        <v>0</v>
      </c>
      <c r="E15" s="20">
        <f>'[3]Річна потреба ТЕ на опалення'!AA14+'[3]Річна потреба ТЕ на опалення'!AA15</f>
        <v>3.3479999999999999</v>
      </c>
      <c r="F15" s="20">
        <f>'[3]Річна потреба ТЕ на опалення'!S14</f>
        <v>0</v>
      </c>
      <c r="G15" s="23"/>
      <c r="H15" s="23"/>
      <c r="I15" s="66">
        <f t="shared" ref="I15:L34" si="3">M15-C15</f>
        <v>0</v>
      </c>
      <c r="J15" s="23">
        <f t="shared" si="3"/>
        <v>0</v>
      </c>
      <c r="K15" s="23">
        <f t="shared" si="3"/>
        <v>0</v>
      </c>
      <c r="L15" s="23">
        <f t="shared" si="3"/>
        <v>0</v>
      </c>
      <c r="M15" s="66">
        <f t="shared" ref="M15:M34" si="4">C15/(100%-H15)</f>
        <v>3.3479999999999999</v>
      </c>
      <c r="N15" s="23">
        <f t="shared" ref="N15:N34" si="5">D15/(100%-H15)</f>
        <v>0</v>
      </c>
      <c r="O15" s="23">
        <f t="shared" ref="O15:O34" si="6">E15/(100%-H15)</f>
        <v>3.3479999999999999</v>
      </c>
      <c r="P15" s="23">
        <f t="shared" ref="P15:P34" si="7">F15/(100%-H15)</f>
        <v>0</v>
      </c>
      <c r="Q15" s="66">
        <f t="shared" si="0"/>
        <v>7.4999999999999997E-2</v>
      </c>
      <c r="R15" s="66">
        <f t="shared" ref="R15:U34" si="8">(C15+I15)/(100%-2.2%)</f>
        <v>3.423</v>
      </c>
      <c r="S15" s="23">
        <f t="shared" si="8"/>
        <v>0</v>
      </c>
      <c r="T15" s="23">
        <f t="shared" si="8"/>
        <v>3.423</v>
      </c>
      <c r="U15" s="23">
        <f t="shared" si="8"/>
        <v>0</v>
      </c>
      <c r="V15" s="33">
        <f t="shared" ref="V15:V35" si="9">R15-S15-T15-U15</f>
        <v>0</v>
      </c>
      <c r="W15" s="23"/>
      <c r="X15" s="23"/>
      <c r="Y15" s="66">
        <f t="shared" ref="Y15:AB33" si="10">(C15+I15+Q15)/(100%-2.2%)</f>
        <v>3.5</v>
      </c>
      <c r="Z15" s="23">
        <f t="shared" si="10"/>
        <v>3.5</v>
      </c>
      <c r="AA15" s="23">
        <f t="shared" si="1"/>
        <v>3.423</v>
      </c>
      <c r="AB15" s="23">
        <f t="shared" si="1"/>
        <v>3.5</v>
      </c>
      <c r="AC15" s="33">
        <f t="shared" ref="AC15:AC34" si="11">Y15-Z15-AA15-AB15</f>
        <v>-6.92</v>
      </c>
    </row>
    <row r="16" spans="1:29" s="3" customFormat="1" ht="15.75">
      <c r="A16" s="22">
        <v>3</v>
      </c>
      <c r="B16" s="21" t="s">
        <v>217</v>
      </c>
      <c r="C16" s="92">
        <f t="shared" si="2"/>
        <v>7.992</v>
      </c>
      <c r="D16" s="20">
        <f>'[3]Річна потреба ТЕ на опалення'!Q15</f>
        <v>0</v>
      </c>
      <c r="E16" s="20">
        <f>'[3]Річна потреба ТЕ на опалення'!AA16</f>
        <v>7.992</v>
      </c>
      <c r="F16" s="20">
        <f>'[3]Річна потреба ТЕ на опалення'!S15</f>
        <v>0</v>
      </c>
      <c r="G16" s="93">
        <v>42</v>
      </c>
      <c r="H16" s="93">
        <v>4.0000000000000001E-3</v>
      </c>
      <c r="I16" s="66">
        <f t="shared" si="3"/>
        <v>3.2000000000000001E-2</v>
      </c>
      <c r="J16" s="23">
        <f t="shared" si="3"/>
        <v>0</v>
      </c>
      <c r="K16" s="23">
        <f t="shared" si="3"/>
        <v>3.2000000000000001E-2</v>
      </c>
      <c r="L16" s="23">
        <f t="shared" si="3"/>
        <v>0</v>
      </c>
      <c r="M16" s="66">
        <f t="shared" si="4"/>
        <v>8.0239999999999991</v>
      </c>
      <c r="N16" s="23">
        <f t="shared" si="5"/>
        <v>0</v>
      </c>
      <c r="O16" s="23">
        <f t="shared" si="6"/>
        <v>8.0239999999999991</v>
      </c>
      <c r="P16" s="23">
        <f t="shared" si="7"/>
        <v>0</v>
      </c>
      <c r="Q16" s="66">
        <f t="shared" si="0"/>
        <v>0.18</v>
      </c>
      <c r="R16" s="66">
        <f t="shared" si="8"/>
        <v>8.2040000000000006</v>
      </c>
      <c r="S16" s="23">
        <f t="shared" si="8"/>
        <v>0</v>
      </c>
      <c r="T16" s="23">
        <f t="shared" si="8"/>
        <v>8.2040000000000006</v>
      </c>
      <c r="U16" s="23">
        <f t="shared" si="8"/>
        <v>0</v>
      </c>
      <c r="V16" s="33">
        <f t="shared" si="9"/>
        <v>0</v>
      </c>
      <c r="W16" s="23"/>
      <c r="X16" s="23"/>
      <c r="Y16" s="66">
        <f t="shared" si="10"/>
        <v>8.3889999999999993</v>
      </c>
      <c r="Z16" s="23">
        <f t="shared" si="10"/>
        <v>8.3889999999999993</v>
      </c>
      <c r="AA16" s="23">
        <f t="shared" si="1"/>
        <v>8.2040000000000006</v>
      </c>
      <c r="AB16" s="23">
        <f t="shared" si="1"/>
        <v>8.3889999999999993</v>
      </c>
      <c r="AC16" s="33">
        <f t="shared" si="11"/>
        <v>-16.59</v>
      </c>
    </row>
    <row r="17" spans="1:29" s="3" customFormat="1" ht="15.75">
      <c r="A17" s="72">
        <v>4</v>
      </c>
      <c r="B17" s="76" t="s">
        <v>218</v>
      </c>
      <c r="C17" s="94">
        <f t="shared" si="2"/>
        <v>1.89</v>
      </c>
      <c r="D17" s="20">
        <f>'[3]Річна потреба ТЕ на опалення'!T17</f>
        <v>0</v>
      </c>
      <c r="E17" s="20">
        <f>'[3]Річна потреба ТЕ на опалення'!U17</f>
        <v>0</v>
      </c>
      <c r="F17" s="20">
        <f>'[3]Річна потреба ТЕ на опалення'!AB17</f>
        <v>1.89</v>
      </c>
      <c r="G17" s="96">
        <f>0.02*1000</f>
        <v>20</v>
      </c>
      <c r="H17" s="205">
        <f>G17/100*1%</f>
        <v>2E-3</v>
      </c>
      <c r="I17" s="97">
        <f t="shared" si="3"/>
        <v>4.0000000000000001E-3</v>
      </c>
      <c r="J17" s="96">
        <f t="shared" si="3"/>
        <v>0</v>
      </c>
      <c r="K17" s="96">
        <f t="shared" si="3"/>
        <v>0</v>
      </c>
      <c r="L17" s="96">
        <f>P17-F17</f>
        <v>4.0000000000000001E-3</v>
      </c>
      <c r="M17" s="97">
        <f t="shared" si="4"/>
        <v>1.8939999999999999</v>
      </c>
      <c r="N17" s="96">
        <f t="shared" si="5"/>
        <v>0</v>
      </c>
      <c r="O17" s="96">
        <f t="shared" si="6"/>
        <v>0</v>
      </c>
      <c r="P17" s="96">
        <f t="shared" si="7"/>
        <v>1.8939999999999999</v>
      </c>
      <c r="Q17" s="66">
        <f t="shared" si="0"/>
        <v>4.2999999999999997E-2</v>
      </c>
      <c r="R17" s="66">
        <f t="shared" si="8"/>
        <v>1.9370000000000001</v>
      </c>
      <c r="S17" s="23">
        <f t="shared" si="8"/>
        <v>0</v>
      </c>
      <c r="T17" s="23">
        <f t="shared" si="8"/>
        <v>0</v>
      </c>
      <c r="U17" s="23">
        <f t="shared" si="8"/>
        <v>1.9370000000000001</v>
      </c>
      <c r="V17" s="33">
        <f t="shared" si="9"/>
        <v>0</v>
      </c>
      <c r="W17" s="96"/>
      <c r="X17" s="96"/>
      <c r="Y17" s="97">
        <f t="shared" si="10"/>
        <v>1.9810000000000001</v>
      </c>
      <c r="Z17" s="96">
        <f t="shared" si="10"/>
        <v>1.9810000000000001</v>
      </c>
      <c r="AA17" s="96">
        <f t="shared" si="1"/>
        <v>0</v>
      </c>
      <c r="AB17" s="96">
        <f t="shared" si="1"/>
        <v>1.9370000000000001</v>
      </c>
      <c r="AC17" s="33">
        <f t="shared" si="11"/>
        <v>-1.94</v>
      </c>
    </row>
    <row r="18" spans="1:29" s="3" customFormat="1" ht="15.75">
      <c r="A18" s="22">
        <v>5</v>
      </c>
      <c r="B18" s="21" t="s">
        <v>359</v>
      </c>
      <c r="C18" s="92">
        <f t="shared" si="2"/>
        <v>10.044</v>
      </c>
      <c r="D18" s="20">
        <f>'[3]Річна потреба ТЕ на опалення'!Q17</f>
        <v>0</v>
      </c>
      <c r="E18" s="20">
        <f>'[3]Річна потреба ТЕ на опалення'!AA18</f>
        <v>10.044</v>
      </c>
      <c r="F18" s="20">
        <v>0</v>
      </c>
      <c r="G18" s="93">
        <f>0.07*1000</f>
        <v>70</v>
      </c>
      <c r="H18" s="206">
        <f>G18/100*1%</f>
        <v>7.0000000000000001E-3</v>
      </c>
      <c r="I18" s="66">
        <f t="shared" si="3"/>
        <v>7.0999999999999994E-2</v>
      </c>
      <c r="J18" s="23">
        <f t="shared" si="3"/>
        <v>0</v>
      </c>
      <c r="K18" s="23">
        <f t="shared" si="3"/>
        <v>7.0999999999999994E-2</v>
      </c>
      <c r="L18" s="23">
        <f t="shared" si="3"/>
        <v>0</v>
      </c>
      <c r="M18" s="66">
        <f t="shared" si="4"/>
        <v>10.115</v>
      </c>
      <c r="N18" s="23">
        <f t="shared" si="5"/>
        <v>0</v>
      </c>
      <c r="O18" s="23">
        <f t="shared" si="6"/>
        <v>10.115</v>
      </c>
      <c r="P18" s="23">
        <f t="shared" si="7"/>
        <v>0</v>
      </c>
      <c r="Q18" s="66">
        <f t="shared" si="0"/>
        <v>0.22800000000000001</v>
      </c>
      <c r="R18" s="66">
        <f t="shared" si="8"/>
        <v>10.343</v>
      </c>
      <c r="S18" s="23">
        <f t="shared" si="8"/>
        <v>0</v>
      </c>
      <c r="T18" s="23">
        <f t="shared" si="8"/>
        <v>10.343</v>
      </c>
      <c r="U18" s="23">
        <f t="shared" si="8"/>
        <v>0</v>
      </c>
      <c r="V18" s="33">
        <f t="shared" si="9"/>
        <v>0</v>
      </c>
      <c r="W18" s="23"/>
      <c r="X18" s="23"/>
      <c r="Y18" s="66">
        <f t="shared" si="10"/>
        <v>10.576000000000001</v>
      </c>
      <c r="Z18" s="23">
        <f t="shared" si="10"/>
        <v>10.576000000000001</v>
      </c>
      <c r="AA18" s="23">
        <f t="shared" si="1"/>
        <v>10.343</v>
      </c>
      <c r="AB18" s="23">
        <f t="shared" si="1"/>
        <v>10.576000000000001</v>
      </c>
      <c r="AC18" s="33">
        <f t="shared" si="11"/>
        <v>-20.92</v>
      </c>
    </row>
    <row r="19" spans="1:29" s="3" customFormat="1" ht="15.75">
      <c r="A19" s="22">
        <v>6</v>
      </c>
      <c r="B19" s="21" t="s">
        <v>190</v>
      </c>
      <c r="C19" s="92">
        <f t="shared" si="2"/>
        <v>4.32</v>
      </c>
      <c r="D19" s="20">
        <f>'[3]Річна потреба ТЕ на опалення'!Q18</f>
        <v>0</v>
      </c>
      <c r="E19" s="20">
        <f>'[3]Річна потреба ТЕ на опалення'!AA19</f>
        <v>4.32</v>
      </c>
      <c r="F19" s="20">
        <f>'[3]Річна потреба ТЕ на опалення'!S18</f>
        <v>0</v>
      </c>
      <c r="G19" s="93">
        <v>23</v>
      </c>
      <c r="H19" s="206">
        <v>2.3E-3</v>
      </c>
      <c r="I19" s="66">
        <f t="shared" si="3"/>
        <v>0.01</v>
      </c>
      <c r="J19" s="23">
        <f t="shared" si="3"/>
        <v>0</v>
      </c>
      <c r="K19" s="23">
        <f t="shared" si="3"/>
        <v>0.01</v>
      </c>
      <c r="L19" s="23">
        <f t="shared" si="3"/>
        <v>0</v>
      </c>
      <c r="M19" s="66">
        <f t="shared" si="4"/>
        <v>4.33</v>
      </c>
      <c r="N19" s="23">
        <f t="shared" si="5"/>
        <v>0</v>
      </c>
      <c r="O19" s="23">
        <f t="shared" si="6"/>
        <v>4.33</v>
      </c>
      <c r="P19" s="23">
        <f t="shared" si="7"/>
        <v>0</v>
      </c>
      <c r="Q19" s="66">
        <f t="shared" si="0"/>
        <v>9.7000000000000003E-2</v>
      </c>
      <c r="R19" s="66">
        <f t="shared" si="8"/>
        <v>4.4269999999999996</v>
      </c>
      <c r="S19" s="23">
        <f t="shared" si="8"/>
        <v>0</v>
      </c>
      <c r="T19" s="23">
        <f t="shared" si="8"/>
        <v>4.4269999999999996</v>
      </c>
      <c r="U19" s="23">
        <f t="shared" si="8"/>
        <v>0</v>
      </c>
      <c r="V19" s="33">
        <f t="shared" si="9"/>
        <v>0</v>
      </c>
      <c r="W19" s="23"/>
      <c r="X19" s="23"/>
      <c r="Y19" s="66">
        <f t="shared" si="10"/>
        <v>4.5270000000000001</v>
      </c>
      <c r="Z19" s="23">
        <f t="shared" si="10"/>
        <v>4.5270000000000001</v>
      </c>
      <c r="AA19" s="23">
        <f t="shared" si="1"/>
        <v>4.4269999999999996</v>
      </c>
      <c r="AB19" s="23">
        <f t="shared" si="1"/>
        <v>4.5270000000000001</v>
      </c>
      <c r="AC19" s="33">
        <f t="shared" si="11"/>
        <v>-8.9499999999999993</v>
      </c>
    </row>
    <row r="20" spans="1:29" s="3" customFormat="1" ht="15.75">
      <c r="A20" s="22">
        <v>7</v>
      </c>
      <c r="B20" s="21" t="s">
        <v>360</v>
      </c>
      <c r="C20" s="92">
        <f t="shared" si="2"/>
        <v>6.01</v>
      </c>
      <c r="D20" s="20">
        <f>'[3]Річна потреба ТЕ на опалення'!Q19</f>
        <v>0</v>
      </c>
      <c r="E20" s="20">
        <f>'[3]Річна потреба ТЕ на опалення'!AA23</f>
        <v>6.01</v>
      </c>
      <c r="F20" s="20">
        <f>'[3]Річна потреба ТЕ на опалення'!S19</f>
        <v>0</v>
      </c>
      <c r="G20" s="23">
        <v>225.5</v>
      </c>
      <c r="H20" s="207">
        <v>2.2599999999999999E-2</v>
      </c>
      <c r="I20" s="66">
        <f t="shared" si="3"/>
        <v>0.13900000000000001</v>
      </c>
      <c r="J20" s="23">
        <f t="shared" si="3"/>
        <v>0</v>
      </c>
      <c r="K20" s="23">
        <f t="shared" si="3"/>
        <v>0.13900000000000001</v>
      </c>
      <c r="L20" s="23">
        <f t="shared" si="3"/>
        <v>0</v>
      </c>
      <c r="M20" s="66">
        <f t="shared" si="4"/>
        <v>6.149</v>
      </c>
      <c r="N20" s="23">
        <f t="shared" si="5"/>
        <v>0</v>
      </c>
      <c r="O20" s="23">
        <f t="shared" si="6"/>
        <v>6.149</v>
      </c>
      <c r="P20" s="23">
        <f t="shared" si="7"/>
        <v>0</v>
      </c>
      <c r="Q20" s="66">
        <f t="shared" si="0"/>
        <v>0.13800000000000001</v>
      </c>
      <c r="R20" s="66">
        <f t="shared" si="8"/>
        <v>6.2869999999999999</v>
      </c>
      <c r="S20" s="23">
        <f t="shared" si="8"/>
        <v>0</v>
      </c>
      <c r="T20" s="23">
        <f t="shared" si="8"/>
        <v>6.2869999999999999</v>
      </c>
      <c r="U20" s="23">
        <f t="shared" si="8"/>
        <v>0</v>
      </c>
      <c r="V20" s="33"/>
      <c r="W20" s="23"/>
      <c r="X20" s="23"/>
      <c r="Y20" s="66">
        <f t="shared" si="10"/>
        <v>6.4279999999999999</v>
      </c>
      <c r="Z20" s="23">
        <f t="shared" si="10"/>
        <v>6.4279999999999999</v>
      </c>
      <c r="AA20" s="23">
        <f t="shared" si="1"/>
        <v>6.2869999999999999</v>
      </c>
      <c r="AB20" s="23">
        <f t="shared" si="1"/>
        <v>6.4279999999999999</v>
      </c>
      <c r="AC20" s="33"/>
    </row>
    <row r="21" spans="1:29" s="3" customFormat="1" ht="15.75">
      <c r="A21" s="22">
        <v>8</v>
      </c>
      <c r="B21" s="21" t="s">
        <v>168</v>
      </c>
      <c r="C21" s="92">
        <f t="shared" si="2"/>
        <v>5.508</v>
      </c>
      <c r="D21" s="20">
        <f>'[3]Річна потреба ТЕ на опалення'!Q20</f>
        <v>0</v>
      </c>
      <c r="E21" s="20">
        <f>'[3]Річна потреба ТЕ на опалення'!AA24</f>
        <v>5.508</v>
      </c>
      <c r="F21" s="20">
        <f>'[3]Річна потреба ТЕ на опалення'!S20</f>
        <v>0</v>
      </c>
      <c r="G21" s="20"/>
      <c r="H21" s="207"/>
      <c r="I21" s="66">
        <f t="shared" si="3"/>
        <v>0</v>
      </c>
      <c r="J21" s="23">
        <f t="shared" si="3"/>
        <v>0</v>
      </c>
      <c r="K21" s="23">
        <f t="shared" si="3"/>
        <v>0</v>
      </c>
      <c r="L21" s="23">
        <f t="shared" si="3"/>
        <v>0</v>
      </c>
      <c r="M21" s="66">
        <f t="shared" si="4"/>
        <v>5.508</v>
      </c>
      <c r="N21" s="23">
        <f>D21/(100%-H21)</f>
        <v>0</v>
      </c>
      <c r="O21" s="23">
        <f>E21/(100%-H21)</f>
        <v>5.508</v>
      </c>
      <c r="P21" s="23">
        <f>F21/(100%-H21)</f>
        <v>0</v>
      </c>
      <c r="Q21" s="66">
        <f t="shared" si="0"/>
        <v>0.124</v>
      </c>
      <c r="R21" s="66">
        <f t="shared" si="8"/>
        <v>5.6319999999999997</v>
      </c>
      <c r="S21" s="23">
        <f t="shared" si="8"/>
        <v>0</v>
      </c>
      <c r="T21" s="23">
        <f t="shared" si="8"/>
        <v>5.6319999999999997</v>
      </c>
      <c r="U21" s="23">
        <f t="shared" si="8"/>
        <v>0</v>
      </c>
      <c r="V21" s="33"/>
      <c r="W21" s="23"/>
      <c r="X21" s="23"/>
      <c r="Y21" s="66">
        <f t="shared" si="10"/>
        <v>5.7590000000000003</v>
      </c>
      <c r="Z21" s="23">
        <f t="shared" si="10"/>
        <v>5.7590000000000003</v>
      </c>
      <c r="AA21" s="23">
        <f t="shared" si="1"/>
        <v>5.6319999999999997</v>
      </c>
      <c r="AB21" s="23">
        <f t="shared" si="1"/>
        <v>5.7590000000000003</v>
      </c>
      <c r="AC21" s="33">
        <f t="shared" si="11"/>
        <v>-11.39</v>
      </c>
    </row>
    <row r="22" spans="1:29" s="3" customFormat="1" ht="15.75">
      <c r="A22" s="22">
        <v>9</v>
      </c>
      <c r="B22" s="21" t="s">
        <v>221</v>
      </c>
      <c r="C22" s="92">
        <f>D22+E22+F22</f>
        <v>0.38300000000000001</v>
      </c>
      <c r="D22" s="20">
        <f>'[3]Річна потреба ТЕ на опалення'!Q21</f>
        <v>0</v>
      </c>
      <c r="E22" s="20">
        <f>'[3]Річна потреба ТЕ на опалення'!AA25</f>
        <v>0.38300000000000001</v>
      </c>
      <c r="F22" s="20">
        <f>'[3]Річна потреба ТЕ на опалення'!S21</f>
        <v>0</v>
      </c>
      <c r="G22" s="23"/>
      <c r="H22" s="207"/>
      <c r="I22" s="66">
        <f t="shared" si="3"/>
        <v>0</v>
      </c>
      <c r="J22" s="23">
        <f t="shared" si="3"/>
        <v>0</v>
      </c>
      <c r="K22" s="23">
        <f t="shared" si="3"/>
        <v>0</v>
      </c>
      <c r="L22" s="23">
        <f t="shared" si="3"/>
        <v>0</v>
      </c>
      <c r="M22" s="66">
        <f>C22/(100%-H22)</f>
        <v>0.38300000000000001</v>
      </c>
      <c r="N22" s="23">
        <f>D22/(100%-H22)</f>
        <v>0</v>
      </c>
      <c r="O22" s="23">
        <f>E22/(100%-H22)</f>
        <v>0.38300000000000001</v>
      </c>
      <c r="P22" s="23">
        <f>F22/(100%-H22)</f>
        <v>0</v>
      </c>
      <c r="Q22" s="66">
        <f t="shared" si="0"/>
        <v>8.9999999999999993E-3</v>
      </c>
      <c r="R22" s="66">
        <f t="shared" si="8"/>
        <v>0.39200000000000002</v>
      </c>
      <c r="S22" s="23">
        <f t="shared" si="8"/>
        <v>0</v>
      </c>
      <c r="T22" s="23">
        <f t="shared" si="8"/>
        <v>0.39200000000000002</v>
      </c>
      <c r="U22" s="23">
        <f t="shared" si="8"/>
        <v>0</v>
      </c>
      <c r="V22" s="33" t="e">
        <f>#REF!-#REF!-#REF!-#REF!</f>
        <v>#REF!</v>
      </c>
      <c r="W22" s="23"/>
      <c r="X22" s="23"/>
      <c r="Y22" s="66">
        <f t="shared" si="10"/>
        <v>0.40100000000000002</v>
      </c>
      <c r="Z22" s="23">
        <f t="shared" si="10"/>
        <v>0.40100000000000002</v>
      </c>
      <c r="AA22" s="23">
        <f t="shared" si="1"/>
        <v>0.39200000000000002</v>
      </c>
      <c r="AB22" s="23">
        <f t="shared" si="1"/>
        <v>0.40100000000000002</v>
      </c>
      <c r="AC22" s="33">
        <f t="shared" si="11"/>
        <v>-0.79</v>
      </c>
    </row>
    <row r="23" spans="1:29" s="3" customFormat="1" ht="15.75">
      <c r="A23" s="22">
        <v>10</v>
      </c>
      <c r="B23" s="21" t="s">
        <v>222</v>
      </c>
      <c r="C23" s="98">
        <f>D23+E23+F23</f>
        <v>1.3879999999999999</v>
      </c>
      <c r="D23" s="20">
        <f>'[3]Річна потреба ТЕ на опалення'!Q22</f>
        <v>0</v>
      </c>
      <c r="E23" s="20">
        <f>'[3]Річна потреба ТЕ на опалення'!AA26</f>
        <v>1.3879999999999999</v>
      </c>
      <c r="F23" s="20">
        <f>'[3]Річна потреба ТЕ на опалення'!S22</f>
        <v>0</v>
      </c>
      <c r="G23" s="30"/>
      <c r="H23" s="31"/>
      <c r="I23" s="99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99">
        <f>C23/(100%-H23)</f>
        <v>1.3879999999999999</v>
      </c>
      <c r="N23" s="30">
        <f>D23/(100%-H23)</f>
        <v>0</v>
      </c>
      <c r="O23" s="30">
        <f>E23/(100%-H23)</f>
        <v>1.3879999999999999</v>
      </c>
      <c r="P23" s="30">
        <f>F23/(100%-H23)</f>
        <v>0</v>
      </c>
      <c r="Q23" s="66">
        <f t="shared" si="0"/>
        <v>3.1E-2</v>
      </c>
      <c r="R23" s="66">
        <f t="shared" si="8"/>
        <v>1.419</v>
      </c>
      <c r="S23" s="23">
        <f t="shared" si="8"/>
        <v>0</v>
      </c>
      <c r="T23" s="23">
        <f t="shared" si="8"/>
        <v>1.419</v>
      </c>
      <c r="U23" s="23">
        <f t="shared" si="8"/>
        <v>0</v>
      </c>
      <c r="V23" s="33">
        <f>R22-S22-T22-U22</f>
        <v>0</v>
      </c>
      <c r="W23" s="23"/>
      <c r="X23" s="23"/>
      <c r="Y23" s="66">
        <f t="shared" si="10"/>
        <v>1.4510000000000001</v>
      </c>
      <c r="Z23" s="23">
        <f t="shared" si="10"/>
        <v>1.4510000000000001</v>
      </c>
      <c r="AA23" s="23">
        <f t="shared" si="1"/>
        <v>1.419</v>
      </c>
      <c r="AB23" s="23">
        <f t="shared" si="1"/>
        <v>1.4510000000000001</v>
      </c>
      <c r="AC23" s="33">
        <f t="shared" si="11"/>
        <v>-2.87</v>
      </c>
    </row>
    <row r="24" spans="1:29" s="3" customFormat="1" ht="15.75">
      <c r="A24" s="22">
        <v>11</v>
      </c>
      <c r="B24" s="21" t="s">
        <v>223</v>
      </c>
      <c r="C24" s="98">
        <f>D24+E24+F24</f>
        <v>14.634</v>
      </c>
      <c r="D24" s="20">
        <f>'[3]Річна потреба ТЕ на опалення'!Q23</f>
        <v>0</v>
      </c>
      <c r="E24" s="20">
        <f>'[3]Річна потреба ТЕ на опалення'!AA27</f>
        <v>14.634</v>
      </c>
      <c r="F24" s="20">
        <f>'[3]Річна потреба ТЕ на опалення'!S23</f>
        <v>0</v>
      </c>
      <c r="G24" s="30"/>
      <c r="H24" s="31"/>
      <c r="I24" s="99">
        <f t="shared" si="3"/>
        <v>0</v>
      </c>
      <c r="J24" s="30">
        <f t="shared" si="3"/>
        <v>0</v>
      </c>
      <c r="K24" s="30">
        <f t="shared" si="3"/>
        <v>0</v>
      </c>
      <c r="L24" s="30">
        <f t="shared" si="3"/>
        <v>0</v>
      </c>
      <c r="M24" s="99">
        <f>C24/(100%-H24)</f>
        <v>14.634</v>
      </c>
      <c r="N24" s="30">
        <f>D24/(100%-H24)</f>
        <v>0</v>
      </c>
      <c r="O24" s="30">
        <f>E24/(100%-H24)</f>
        <v>14.634</v>
      </c>
      <c r="P24" s="30">
        <f>F24/(100%-H24)</f>
        <v>0</v>
      </c>
      <c r="Q24" s="66">
        <f t="shared" si="0"/>
        <v>0.32900000000000001</v>
      </c>
      <c r="R24" s="66">
        <f t="shared" si="8"/>
        <v>14.962999999999999</v>
      </c>
      <c r="S24" s="23">
        <f t="shared" si="8"/>
        <v>0</v>
      </c>
      <c r="T24" s="23">
        <f t="shared" si="8"/>
        <v>14.962999999999999</v>
      </c>
      <c r="U24" s="23">
        <f t="shared" si="8"/>
        <v>0</v>
      </c>
      <c r="V24" s="33">
        <f>R23-S23-T23-U23</f>
        <v>0</v>
      </c>
      <c r="W24" s="23"/>
      <c r="X24" s="23"/>
      <c r="Y24" s="66">
        <f t="shared" si="10"/>
        <v>15.3</v>
      </c>
      <c r="Z24" s="23">
        <f t="shared" si="10"/>
        <v>15.3</v>
      </c>
      <c r="AA24" s="23">
        <f t="shared" si="1"/>
        <v>14.962999999999999</v>
      </c>
      <c r="AB24" s="23">
        <f t="shared" si="1"/>
        <v>15.3</v>
      </c>
      <c r="AC24" s="33">
        <f t="shared" si="11"/>
        <v>-30.26</v>
      </c>
    </row>
    <row r="25" spans="1:29" s="3" customFormat="1" ht="15.75">
      <c r="A25" s="22">
        <v>12</v>
      </c>
      <c r="B25" s="21" t="s">
        <v>224</v>
      </c>
      <c r="C25" s="92">
        <f t="shared" si="2"/>
        <v>64.546000000000006</v>
      </c>
      <c r="D25" s="20">
        <f>'[3]Річна потреба ТЕ на опалення'!Z44</f>
        <v>5.9939999999999998</v>
      </c>
      <c r="E25" s="20">
        <f>'[3]Річна потреба ТЕ на опалення'!AA44</f>
        <v>58.552</v>
      </c>
      <c r="F25" s="20">
        <f>'[3]Річна потреба ТЕ на опалення'!AB44</f>
        <v>0</v>
      </c>
      <c r="G25" s="20">
        <v>1464</v>
      </c>
      <c r="H25" s="209">
        <v>7.5800000000000006E-2</v>
      </c>
      <c r="I25" s="92">
        <f t="shared" si="3"/>
        <v>5.2939999999999996</v>
      </c>
      <c r="J25" s="20">
        <f t="shared" si="3"/>
        <v>0.49199999999999999</v>
      </c>
      <c r="K25" s="20">
        <f t="shared" si="3"/>
        <v>4.8019999999999996</v>
      </c>
      <c r="L25" s="20">
        <f t="shared" si="3"/>
        <v>0</v>
      </c>
      <c r="M25" s="92">
        <f t="shared" si="4"/>
        <v>69.84</v>
      </c>
      <c r="N25" s="20">
        <f t="shared" si="5"/>
        <v>6.4859999999999998</v>
      </c>
      <c r="O25" s="20">
        <f t="shared" si="6"/>
        <v>63.353999999999999</v>
      </c>
      <c r="P25" s="20">
        <f t="shared" si="7"/>
        <v>0</v>
      </c>
      <c r="Q25" s="66">
        <f t="shared" si="0"/>
        <v>1.571</v>
      </c>
      <c r="R25" s="66">
        <f t="shared" si="8"/>
        <v>71.411000000000001</v>
      </c>
      <c r="S25" s="23">
        <f t="shared" si="8"/>
        <v>6.6319999999999997</v>
      </c>
      <c r="T25" s="23">
        <f t="shared" si="8"/>
        <v>64.778999999999996</v>
      </c>
      <c r="U25" s="23">
        <f t="shared" si="8"/>
        <v>0</v>
      </c>
      <c r="V25" s="33">
        <f t="shared" si="9"/>
        <v>0</v>
      </c>
      <c r="W25" s="23"/>
      <c r="X25" s="23"/>
      <c r="Y25" s="66">
        <f t="shared" si="10"/>
        <v>73.016999999999996</v>
      </c>
      <c r="Z25" s="23">
        <f t="shared" si="10"/>
        <v>79.649000000000001</v>
      </c>
      <c r="AA25" s="23">
        <f t="shared" si="1"/>
        <v>71.56</v>
      </c>
      <c r="AB25" s="23">
        <f t="shared" si="1"/>
        <v>66.236000000000004</v>
      </c>
      <c r="AC25" s="33">
        <f t="shared" si="11"/>
        <v>-144.43</v>
      </c>
    </row>
    <row r="26" spans="1:29" s="3" customFormat="1" ht="15.75">
      <c r="A26" s="22">
        <v>13</v>
      </c>
      <c r="B26" s="21" t="s">
        <v>225</v>
      </c>
      <c r="C26" s="92">
        <f t="shared" si="2"/>
        <v>67.126999999999995</v>
      </c>
      <c r="D26" s="20">
        <f>'[3]Річна потреба ТЕ на опалення'!Z52</f>
        <v>6.6959999999999997</v>
      </c>
      <c r="E26" s="20">
        <f>'[3]Річна потреба ТЕ на опалення'!AA52</f>
        <v>50.76</v>
      </c>
      <c r="F26" s="20">
        <f>'[3]Річна потреба ТЕ на опалення'!AB52</f>
        <v>9.6709999999999994</v>
      </c>
      <c r="G26" s="23">
        <v>1398</v>
      </c>
      <c r="H26" s="207">
        <v>7.1900000000000006E-2</v>
      </c>
      <c r="I26" s="66">
        <f t="shared" si="3"/>
        <v>5.2</v>
      </c>
      <c r="J26" s="23">
        <f t="shared" si="3"/>
        <v>0.51900000000000002</v>
      </c>
      <c r="K26" s="23">
        <f t="shared" si="3"/>
        <v>3.9319999999999999</v>
      </c>
      <c r="L26" s="23">
        <f t="shared" si="3"/>
        <v>0.749</v>
      </c>
      <c r="M26" s="66">
        <f t="shared" si="4"/>
        <v>72.326999999999998</v>
      </c>
      <c r="N26" s="23">
        <f t="shared" si="5"/>
        <v>7.2149999999999999</v>
      </c>
      <c r="O26" s="23">
        <f t="shared" si="6"/>
        <v>54.692</v>
      </c>
      <c r="P26" s="23">
        <f t="shared" si="7"/>
        <v>10.42</v>
      </c>
      <c r="Q26" s="66">
        <f t="shared" si="0"/>
        <v>1.627</v>
      </c>
      <c r="R26" s="66">
        <f t="shared" si="8"/>
        <v>73.953999999999994</v>
      </c>
      <c r="S26" s="23">
        <f t="shared" si="8"/>
        <v>7.3769999999999998</v>
      </c>
      <c r="T26" s="23">
        <f t="shared" si="8"/>
        <v>55.921999999999997</v>
      </c>
      <c r="U26" s="23">
        <f t="shared" si="8"/>
        <v>10.654</v>
      </c>
      <c r="V26" s="33">
        <f t="shared" si="9"/>
        <v>0</v>
      </c>
      <c r="W26" s="23"/>
      <c r="X26" s="23"/>
      <c r="Y26" s="66">
        <f t="shared" si="10"/>
        <v>75.617999999999995</v>
      </c>
      <c r="Z26" s="23">
        <f t="shared" si="10"/>
        <v>82.995000000000005</v>
      </c>
      <c r="AA26" s="23">
        <f t="shared" si="10"/>
        <v>63.465000000000003</v>
      </c>
      <c r="AB26" s="23">
        <f t="shared" si="10"/>
        <v>67.834000000000003</v>
      </c>
      <c r="AC26" s="33">
        <f t="shared" si="11"/>
        <v>-138.68</v>
      </c>
    </row>
    <row r="27" spans="1:29" s="3" customFormat="1" ht="15.75">
      <c r="A27" s="22">
        <v>14</v>
      </c>
      <c r="B27" s="21" t="s">
        <v>169</v>
      </c>
      <c r="C27" s="92">
        <f t="shared" si="2"/>
        <v>12.15</v>
      </c>
      <c r="D27" s="20">
        <f>'[3]Річна потреба ТЕ на опалення'!Q26</f>
        <v>0</v>
      </c>
      <c r="E27" s="20">
        <f>'[3]Річна потреба ТЕ на опалення'!AA53</f>
        <v>12.15</v>
      </c>
      <c r="F27" s="20">
        <f>'[3]Річна потреба ТЕ на опалення'!S26</f>
        <v>0</v>
      </c>
      <c r="G27" s="23"/>
      <c r="H27" s="207"/>
      <c r="I27" s="66">
        <f t="shared" si="3"/>
        <v>0</v>
      </c>
      <c r="J27" s="23">
        <f t="shared" si="3"/>
        <v>0</v>
      </c>
      <c r="K27" s="23">
        <f t="shared" si="3"/>
        <v>0</v>
      </c>
      <c r="L27" s="23">
        <f t="shared" si="3"/>
        <v>0</v>
      </c>
      <c r="M27" s="66">
        <f t="shared" si="4"/>
        <v>12.15</v>
      </c>
      <c r="N27" s="23">
        <f t="shared" si="5"/>
        <v>0</v>
      </c>
      <c r="O27" s="23">
        <f t="shared" si="6"/>
        <v>12.15</v>
      </c>
      <c r="P27" s="23">
        <f t="shared" si="7"/>
        <v>0</v>
      </c>
      <c r="Q27" s="66">
        <f t="shared" si="0"/>
        <v>0.27300000000000002</v>
      </c>
      <c r="R27" s="66">
        <f t="shared" si="8"/>
        <v>12.423</v>
      </c>
      <c r="S27" s="23">
        <f t="shared" si="8"/>
        <v>0</v>
      </c>
      <c r="T27" s="23">
        <f t="shared" si="8"/>
        <v>12.423</v>
      </c>
      <c r="U27" s="23">
        <f t="shared" si="8"/>
        <v>0</v>
      </c>
      <c r="V27" s="33">
        <f t="shared" si="9"/>
        <v>0</v>
      </c>
      <c r="W27" s="23"/>
      <c r="X27" s="23"/>
      <c r="Y27" s="66">
        <f t="shared" si="10"/>
        <v>12.702</v>
      </c>
      <c r="Z27" s="23">
        <f t="shared" si="10"/>
        <v>12.702</v>
      </c>
      <c r="AA27" s="23">
        <f t="shared" si="10"/>
        <v>12.423</v>
      </c>
      <c r="AB27" s="23">
        <f t="shared" si="10"/>
        <v>12.702</v>
      </c>
      <c r="AC27" s="33">
        <f t="shared" si="11"/>
        <v>-25.13</v>
      </c>
    </row>
    <row r="28" spans="1:29" s="3" customFormat="1" ht="15.75">
      <c r="A28" s="22">
        <v>15</v>
      </c>
      <c r="B28" s="21" t="s">
        <v>362</v>
      </c>
      <c r="C28" s="92">
        <f t="shared" si="2"/>
        <v>17.28</v>
      </c>
      <c r="D28" s="20">
        <f>'[3]Річна потреба ТЕ на опалення'!Q27</f>
        <v>0</v>
      </c>
      <c r="E28" s="20">
        <f>'[3]Річна потреба ТЕ на опалення'!AA54</f>
        <v>17.28</v>
      </c>
      <c r="F28" s="20">
        <f>'[3]Річна потреба ТЕ на опалення'!S27</f>
        <v>0</v>
      </c>
      <c r="G28" s="23">
        <v>7.5</v>
      </c>
      <c r="H28" s="207">
        <v>8.0000000000000004E-4</v>
      </c>
      <c r="I28" s="66">
        <f t="shared" si="3"/>
        <v>1.4E-2</v>
      </c>
      <c r="J28" s="23">
        <f t="shared" si="3"/>
        <v>0</v>
      </c>
      <c r="K28" s="23">
        <f t="shared" si="3"/>
        <v>1.4E-2</v>
      </c>
      <c r="L28" s="23">
        <f t="shared" si="3"/>
        <v>0</v>
      </c>
      <c r="M28" s="66">
        <f t="shared" si="4"/>
        <v>17.294</v>
      </c>
      <c r="N28" s="23">
        <f t="shared" si="5"/>
        <v>0</v>
      </c>
      <c r="O28" s="23">
        <f t="shared" si="6"/>
        <v>17.294</v>
      </c>
      <c r="P28" s="23">
        <f t="shared" si="7"/>
        <v>0</v>
      </c>
      <c r="Q28" s="66">
        <f t="shared" si="0"/>
        <v>0.38900000000000001</v>
      </c>
      <c r="R28" s="66">
        <f t="shared" si="8"/>
        <v>17.683</v>
      </c>
      <c r="S28" s="23">
        <f t="shared" si="8"/>
        <v>0</v>
      </c>
      <c r="T28" s="23">
        <f t="shared" si="8"/>
        <v>17.683</v>
      </c>
      <c r="U28" s="23">
        <f t="shared" si="8"/>
        <v>0</v>
      </c>
      <c r="V28" s="33">
        <f t="shared" si="9"/>
        <v>0</v>
      </c>
      <c r="W28" s="23"/>
      <c r="X28" s="23"/>
      <c r="Y28" s="66">
        <f t="shared" si="10"/>
        <v>18.081</v>
      </c>
      <c r="Z28" s="23">
        <f t="shared" si="10"/>
        <v>18.081</v>
      </c>
      <c r="AA28" s="23">
        <f t="shared" si="10"/>
        <v>17.683</v>
      </c>
      <c r="AB28" s="23">
        <f t="shared" si="10"/>
        <v>18.081</v>
      </c>
      <c r="AC28" s="33">
        <f t="shared" si="11"/>
        <v>-35.76</v>
      </c>
    </row>
    <row r="29" spans="1:29" s="3" customFormat="1" ht="15.75">
      <c r="A29" s="22">
        <v>16</v>
      </c>
      <c r="B29" s="21" t="s">
        <v>226</v>
      </c>
      <c r="C29" s="92">
        <f>D29+E29+F29</f>
        <v>11.61</v>
      </c>
      <c r="D29" s="20">
        <f>'[3]Річна потреба ТЕ на опалення'!T55</f>
        <v>0</v>
      </c>
      <c r="E29" s="20">
        <f>'[3]Річна потреба ТЕ на опалення'!AA55+'[3]Річна потреба ТЕ на опалення'!AA56</f>
        <v>11.61</v>
      </c>
      <c r="F29" s="20">
        <f>'[3]Річна потреба ТЕ на опалення'!S28</f>
        <v>0</v>
      </c>
      <c r="G29" s="23"/>
      <c r="H29" s="207"/>
      <c r="I29" s="66">
        <f t="shared" si="3"/>
        <v>0</v>
      </c>
      <c r="J29" s="23">
        <f t="shared" si="3"/>
        <v>0</v>
      </c>
      <c r="K29" s="23">
        <f t="shared" si="3"/>
        <v>0</v>
      </c>
      <c r="L29" s="23">
        <f t="shared" si="3"/>
        <v>0</v>
      </c>
      <c r="M29" s="66">
        <f t="shared" si="4"/>
        <v>11.61</v>
      </c>
      <c r="N29" s="23">
        <f t="shared" si="5"/>
        <v>0</v>
      </c>
      <c r="O29" s="23">
        <f t="shared" si="6"/>
        <v>11.61</v>
      </c>
      <c r="P29" s="23">
        <f t="shared" si="7"/>
        <v>0</v>
      </c>
      <c r="Q29" s="66">
        <f t="shared" si="0"/>
        <v>0.26100000000000001</v>
      </c>
      <c r="R29" s="66">
        <f t="shared" si="8"/>
        <v>11.871</v>
      </c>
      <c r="S29" s="23">
        <f t="shared" si="8"/>
        <v>0</v>
      </c>
      <c r="T29" s="23">
        <f t="shared" si="8"/>
        <v>11.871</v>
      </c>
      <c r="U29" s="23">
        <f t="shared" si="8"/>
        <v>0</v>
      </c>
      <c r="V29" s="33">
        <f t="shared" si="9"/>
        <v>0</v>
      </c>
      <c r="W29" s="23"/>
      <c r="X29" s="23"/>
      <c r="Y29" s="66">
        <f t="shared" si="10"/>
        <v>12.138</v>
      </c>
      <c r="Z29" s="23">
        <f t="shared" si="10"/>
        <v>12.138</v>
      </c>
      <c r="AA29" s="23">
        <f t="shared" si="10"/>
        <v>11.871</v>
      </c>
      <c r="AB29" s="23">
        <f t="shared" si="10"/>
        <v>12.138</v>
      </c>
      <c r="AC29" s="33">
        <f t="shared" si="11"/>
        <v>-24.01</v>
      </c>
    </row>
    <row r="30" spans="1:29" s="3" customFormat="1" ht="15.75">
      <c r="A30" s="22">
        <v>17</v>
      </c>
      <c r="B30" s="21" t="s">
        <v>227</v>
      </c>
      <c r="C30" s="92">
        <f t="shared" si="2"/>
        <v>11.07</v>
      </c>
      <c r="D30" s="20">
        <f>'[3]Річна потреба ТЕ на опалення'!T56</f>
        <v>0</v>
      </c>
      <c r="E30" s="20">
        <f>'[3]Річна потреба ТЕ на опалення'!AA57</f>
        <v>11.07</v>
      </c>
      <c r="F30" s="20">
        <f>'[3]Річна потреба ТЕ на опалення'!S29</f>
        <v>0</v>
      </c>
      <c r="G30" s="23"/>
      <c r="H30" s="207"/>
      <c r="I30" s="66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66">
        <f t="shared" si="4"/>
        <v>11.07</v>
      </c>
      <c r="N30" s="23">
        <f t="shared" si="5"/>
        <v>0</v>
      </c>
      <c r="O30" s="23">
        <f t="shared" si="6"/>
        <v>11.07</v>
      </c>
      <c r="P30" s="23">
        <f t="shared" si="7"/>
        <v>0</v>
      </c>
      <c r="Q30" s="66">
        <f t="shared" si="0"/>
        <v>0.249</v>
      </c>
      <c r="R30" s="66">
        <f t="shared" si="8"/>
        <v>11.319000000000001</v>
      </c>
      <c r="S30" s="23">
        <f t="shared" si="8"/>
        <v>0</v>
      </c>
      <c r="T30" s="23">
        <f t="shared" si="8"/>
        <v>11.319000000000001</v>
      </c>
      <c r="U30" s="23">
        <f t="shared" si="8"/>
        <v>0</v>
      </c>
      <c r="V30" s="33">
        <f t="shared" si="9"/>
        <v>0</v>
      </c>
      <c r="W30" s="23"/>
      <c r="X30" s="23"/>
      <c r="Y30" s="66">
        <f t="shared" si="10"/>
        <v>11.574</v>
      </c>
      <c r="Z30" s="23">
        <f t="shared" si="10"/>
        <v>11.574</v>
      </c>
      <c r="AA30" s="23">
        <f t="shared" si="10"/>
        <v>11.319000000000001</v>
      </c>
      <c r="AB30" s="23">
        <f t="shared" si="10"/>
        <v>11.574</v>
      </c>
      <c r="AC30" s="33">
        <f t="shared" si="11"/>
        <v>-22.89</v>
      </c>
    </row>
    <row r="31" spans="1:29" s="3" customFormat="1" ht="15.75">
      <c r="A31" s="22">
        <v>18</v>
      </c>
      <c r="B31" s="21" t="s">
        <v>363</v>
      </c>
      <c r="C31" s="92">
        <f t="shared" si="2"/>
        <v>3.456</v>
      </c>
      <c r="D31" s="20">
        <f>'[3]Річна потреба ТЕ на опалення'!T57</f>
        <v>0</v>
      </c>
      <c r="E31" s="20">
        <f>'[3]Річна потреба ТЕ на опалення'!AA58+'[3]Річна потреба ТЕ на опалення'!AA59</f>
        <v>3.456</v>
      </c>
      <c r="F31" s="20">
        <f>'[3]Річна потреба ТЕ на опалення'!S30</f>
        <v>0</v>
      </c>
      <c r="G31" s="23"/>
      <c r="H31" s="207"/>
      <c r="I31" s="66">
        <f t="shared" si="3"/>
        <v>0</v>
      </c>
      <c r="J31" s="23">
        <f t="shared" si="3"/>
        <v>0</v>
      </c>
      <c r="K31" s="23">
        <f t="shared" si="3"/>
        <v>0</v>
      </c>
      <c r="L31" s="23">
        <f t="shared" si="3"/>
        <v>0</v>
      </c>
      <c r="M31" s="66">
        <f t="shared" si="4"/>
        <v>3.456</v>
      </c>
      <c r="N31" s="23">
        <f t="shared" si="5"/>
        <v>0</v>
      </c>
      <c r="O31" s="23">
        <f t="shared" si="6"/>
        <v>3.456</v>
      </c>
      <c r="P31" s="23">
        <f t="shared" si="7"/>
        <v>0</v>
      </c>
      <c r="Q31" s="66">
        <f t="shared" si="0"/>
        <v>7.8E-2</v>
      </c>
      <c r="R31" s="66">
        <f t="shared" si="8"/>
        <v>3.5339999999999998</v>
      </c>
      <c r="S31" s="23">
        <f t="shared" si="8"/>
        <v>0</v>
      </c>
      <c r="T31" s="23">
        <f t="shared" si="8"/>
        <v>3.5339999999999998</v>
      </c>
      <c r="U31" s="23">
        <f t="shared" si="8"/>
        <v>0</v>
      </c>
      <c r="V31" s="33">
        <f t="shared" si="9"/>
        <v>0</v>
      </c>
      <c r="W31" s="23"/>
      <c r="X31" s="23"/>
      <c r="Y31" s="66">
        <f t="shared" si="10"/>
        <v>3.613</v>
      </c>
      <c r="Z31" s="23">
        <f t="shared" si="10"/>
        <v>3.613</v>
      </c>
      <c r="AA31" s="23">
        <f t="shared" si="10"/>
        <v>3.5339999999999998</v>
      </c>
      <c r="AB31" s="23">
        <f t="shared" si="10"/>
        <v>3.613</v>
      </c>
      <c r="AC31" s="33">
        <f t="shared" si="11"/>
        <v>-7.15</v>
      </c>
    </row>
    <row r="32" spans="1:29" s="3" customFormat="1" ht="15.75">
      <c r="A32" s="22">
        <v>19</v>
      </c>
      <c r="B32" s="21" t="s">
        <v>228</v>
      </c>
      <c r="C32" s="92">
        <f t="shared" si="2"/>
        <v>28.015000000000001</v>
      </c>
      <c r="D32" s="20">
        <f>'[3]Річна потреба ТЕ на опалення'!T58</f>
        <v>0</v>
      </c>
      <c r="E32" s="20">
        <f>'[3]Річна потреба ТЕ на опалення'!AA60+'[3]Річна потреба ТЕ на опалення'!AA61+'[3]Річна потреба ТЕ на опалення'!AA62</f>
        <v>28.015000000000001</v>
      </c>
      <c r="F32" s="20">
        <f>'[3]Річна потреба ТЕ на опалення'!S31</f>
        <v>0</v>
      </c>
      <c r="G32" s="23"/>
      <c r="H32" s="207"/>
      <c r="I32" s="66">
        <f t="shared" si="3"/>
        <v>0</v>
      </c>
      <c r="J32" s="23">
        <f t="shared" si="3"/>
        <v>0</v>
      </c>
      <c r="K32" s="23">
        <f t="shared" si="3"/>
        <v>0</v>
      </c>
      <c r="L32" s="23">
        <f t="shared" si="3"/>
        <v>0</v>
      </c>
      <c r="M32" s="66">
        <f t="shared" si="4"/>
        <v>28.015000000000001</v>
      </c>
      <c r="N32" s="23">
        <f t="shared" si="5"/>
        <v>0</v>
      </c>
      <c r="O32" s="23">
        <f t="shared" si="6"/>
        <v>28.015000000000001</v>
      </c>
      <c r="P32" s="23">
        <f t="shared" si="7"/>
        <v>0</v>
      </c>
      <c r="Q32" s="66">
        <f t="shared" si="0"/>
        <v>0.63</v>
      </c>
      <c r="R32" s="66">
        <f t="shared" si="8"/>
        <v>28.645</v>
      </c>
      <c r="S32" s="23">
        <f t="shared" si="8"/>
        <v>0</v>
      </c>
      <c r="T32" s="23">
        <f t="shared" si="8"/>
        <v>28.645</v>
      </c>
      <c r="U32" s="23">
        <f t="shared" si="8"/>
        <v>0</v>
      </c>
      <c r="V32" s="33">
        <f t="shared" si="9"/>
        <v>0</v>
      </c>
      <c r="W32" s="23"/>
      <c r="X32" s="23"/>
      <c r="Y32" s="66">
        <f t="shared" si="10"/>
        <v>29.289000000000001</v>
      </c>
      <c r="Z32" s="23">
        <f t="shared" si="10"/>
        <v>29.289000000000001</v>
      </c>
      <c r="AA32" s="23">
        <f t="shared" si="10"/>
        <v>28.645</v>
      </c>
      <c r="AB32" s="23">
        <f t="shared" si="10"/>
        <v>29.289000000000001</v>
      </c>
      <c r="AC32" s="33">
        <f t="shared" si="11"/>
        <v>-57.93</v>
      </c>
    </row>
    <row r="33" spans="1:29" s="3" customFormat="1" ht="16.5" thickBot="1">
      <c r="A33" s="25">
        <v>20</v>
      </c>
      <c r="B33" s="21" t="s">
        <v>229</v>
      </c>
      <c r="C33" s="92">
        <f t="shared" si="2"/>
        <v>11.189</v>
      </c>
      <c r="D33" s="20">
        <f>'[3]Річна потреба ТЕ на опалення'!T59</f>
        <v>0</v>
      </c>
      <c r="E33" s="20">
        <f>'[3]Річна потреба ТЕ на опалення'!AA63+'[3]Річна потреба ТЕ на опалення'!AA64</f>
        <v>11.189</v>
      </c>
      <c r="F33" s="20">
        <f>'[3]Річна потреба ТЕ на опалення'!S32</f>
        <v>0</v>
      </c>
      <c r="G33" s="23">
        <v>21</v>
      </c>
      <c r="H33" s="207">
        <v>2.0999999999999999E-3</v>
      </c>
      <c r="I33" s="66">
        <f t="shared" si="3"/>
        <v>2.4E-2</v>
      </c>
      <c r="J33" s="23">
        <f t="shared" si="3"/>
        <v>0</v>
      </c>
      <c r="K33" s="23">
        <f t="shared" si="3"/>
        <v>2.4E-2</v>
      </c>
      <c r="L33" s="23">
        <f t="shared" si="3"/>
        <v>0</v>
      </c>
      <c r="M33" s="66">
        <f t="shared" si="4"/>
        <v>11.212999999999999</v>
      </c>
      <c r="N33" s="23">
        <f t="shared" si="5"/>
        <v>0</v>
      </c>
      <c r="O33" s="23">
        <f t="shared" si="6"/>
        <v>11.212999999999999</v>
      </c>
      <c r="P33" s="23">
        <f t="shared" si="7"/>
        <v>0</v>
      </c>
      <c r="Q33" s="66">
        <f t="shared" si="0"/>
        <v>0.252</v>
      </c>
      <c r="R33" s="66">
        <f t="shared" si="8"/>
        <v>11.465</v>
      </c>
      <c r="S33" s="23">
        <f t="shared" si="8"/>
        <v>0</v>
      </c>
      <c r="T33" s="23">
        <f t="shared" si="8"/>
        <v>11.465</v>
      </c>
      <c r="U33" s="23">
        <f t="shared" si="8"/>
        <v>0</v>
      </c>
      <c r="V33" s="33">
        <f t="shared" si="9"/>
        <v>0</v>
      </c>
      <c r="W33" s="30"/>
      <c r="X33" s="30"/>
      <c r="Y33" s="99">
        <f t="shared" si="10"/>
        <v>11.723000000000001</v>
      </c>
      <c r="Z33" s="30">
        <f t="shared" si="10"/>
        <v>11.723000000000001</v>
      </c>
      <c r="AA33" s="30">
        <f t="shared" si="10"/>
        <v>11.465</v>
      </c>
      <c r="AB33" s="30">
        <f t="shared" si="10"/>
        <v>11.723000000000001</v>
      </c>
      <c r="AC33" s="33">
        <f t="shared" si="11"/>
        <v>-23.19</v>
      </c>
    </row>
    <row r="34" spans="1:29" s="3" customFormat="1" ht="18" customHeight="1" thickBot="1">
      <c r="A34" s="26">
        <v>21</v>
      </c>
      <c r="B34" s="27" t="s">
        <v>230</v>
      </c>
      <c r="C34" s="92">
        <f t="shared" si="2"/>
        <v>2.4460000000000002</v>
      </c>
      <c r="D34" s="20">
        <f>'[3]Річна потреба ТЕ на опалення'!T60</f>
        <v>0</v>
      </c>
      <c r="E34" s="20">
        <f>'[3]Річна потреба ТЕ на опалення'!AA65</f>
        <v>2.4460000000000002</v>
      </c>
      <c r="F34" s="20">
        <f>'[3]Річна потреба ТЕ на опалення'!S33</f>
        <v>0</v>
      </c>
      <c r="G34" s="30">
        <v>38.5</v>
      </c>
      <c r="H34" s="31">
        <v>3.8999999999999998E-3</v>
      </c>
      <c r="I34" s="99">
        <f t="shared" si="3"/>
        <v>0.01</v>
      </c>
      <c r="J34" s="30">
        <f t="shared" si="3"/>
        <v>0</v>
      </c>
      <c r="K34" s="30">
        <f t="shared" si="3"/>
        <v>0.01</v>
      </c>
      <c r="L34" s="30">
        <f t="shared" si="3"/>
        <v>0</v>
      </c>
      <c r="M34" s="99">
        <f t="shared" si="4"/>
        <v>2.456</v>
      </c>
      <c r="N34" s="30">
        <f t="shared" si="5"/>
        <v>0</v>
      </c>
      <c r="O34" s="30">
        <f t="shared" si="6"/>
        <v>2.456</v>
      </c>
      <c r="P34" s="30">
        <f t="shared" si="7"/>
        <v>0</v>
      </c>
      <c r="Q34" s="66">
        <f t="shared" si="0"/>
        <v>5.5E-2</v>
      </c>
      <c r="R34" s="66">
        <f t="shared" si="8"/>
        <v>2.5110000000000001</v>
      </c>
      <c r="S34" s="23">
        <f t="shared" si="8"/>
        <v>0</v>
      </c>
      <c r="T34" s="23">
        <f t="shared" si="8"/>
        <v>2.5110000000000001</v>
      </c>
      <c r="U34" s="23">
        <f t="shared" si="8"/>
        <v>0</v>
      </c>
      <c r="V34" s="33">
        <f t="shared" si="9"/>
        <v>0</v>
      </c>
      <c r="W34" s="7"/>
      <c r="X34" s="7"/>
      <c r="Y34" s="7">
        <f>SUM(Y14:Y33)</f>
        <v>315.55200000000002</v>
      </c>
      <c r="Z34" s="7">
        <f>SUM(Z14:Z33)</f>
        <v>329.56099999999998</v>
      </c>
      <c r="AA34" s="7">
        <f>SUM(AA14:AA33)</f>
        <v>296.33100000000002</v>
      </c>
      <c r="AB34" s="7">
        <f>SUM(AB14:AB33)</f>
        <v>300.94299999999998</v>
      </c>
      <c r="AC34" s="33">
        <f t="shared" si="11"/>
        <v>-611.28</v>
      </c>
    </row>
    <row r="35" spans="1:29" s="3" customFormat="1" ht="16.5" thickBot="1">
      <c r="A35" s="4"/>
      <c r="B35" s="4" t="s">
        <v>161</v>
      </c>
      <c r="C35" s="7">
        <f>SUM(C14:C34)</f>
        <v>293.42399999999998</v>
      </c>
      <c r="D35" s="7">
        <f>SUM(D14:D34)</f>
        <v>12.69</v>
      </c>
      <c r="E35" s="7">
        <f>SUM(E14:E34)</f>
        <v>269.173</v>
      </c>
      <c r="F35" s="7">
        <f>SUM(F14:F34)</f>
        <v>11.561</v>
      </c>
      <c r="G35" s="7">
        <f>SUM(G14:G34)</f>
        <v>3369.5</v>
      </c>
      <c r="H35" s="9">
        <f>I35/M35</f>
        <v>3.5700000000000003E-2</v>
      </c>
      <c r="I35" s="7">
        <f t="shared" ref="I35:Q35" si="12">SUM(I14:I34)</f>
        <v>10.852</v>
      </c>
      <c r="J35" s="7">
        <f t="shared" si="12"/>
        <v>1.0109999999999999</v>
      </c>
      <c r="K35" s="7">
        <f t="shared" si="12"/>
        <v>9.0879999999999992</v>
      </c>
      <c r="L35" s="7">
        <f t="shared" si="12"/>
        <v>0.753</v>
      </c>
      <c r="M35" s="7">
        <f t="shared" si="12"/>
        <v>304.27600000000001</v>
      </c>
      <c r="N35" s="7">
        <f t="shared" si="12"/>
        <v>13.701000000000001</v>
      </c>
      <c r="O35" s="7">
        <f t="shared" si="12"/>
        <v>278.26100000000002</v>
      </c>
      <c r="P35" s="7">
        <f t="shared" si="12"/>
        <v>12.314</v>
      </c>
      <c r="Q35" s="7">
        <f t="shared" si="12"/>
        <v>6.843</v>
      </c>
      <c r="R35" s="7">
        <f>SUM(R14:R34)</f>
        <v>311.11900000000003</v>
      </c>
      <c r="S35" s="7">
        <f>SUM(S14:S34)</f>
        <v>14.009</v>
      </c>
      <c r="T35" s="7">
        <f>SUM(T14:T34)</f>
        <v>284.51799999999997</v>
      </c>
      <c r="U35" s="7">
        <f>SUM(U14:U34)</f>
        <v>12.590999999999999</v>
      </c>
      <c r="V35" s="33">
        <f t="shared" si="9"/>
        <v>0</v>
      </c>
      <c r="Y35" s="1"/>
    </row>
    <row r="36" spans="1:29" s="3" customFormat="1" ht="15.75">
      <c r="C36" s="1"/>
      <c r="I36" s="1"/>
      <c r="J36" s="1"/>
      <c r="K36" s="1"/>
      <c r="L36" s="1"/>
      <c r="M36" s="1"/>
      <c r="Q36" s="1"/>
      <c r="R36" s="1"/>
      <c r="Y36" s="210">
        <f>Y34-Y17-Y21-Y22</f>
        <v>307.411</v>
      </c>
    </row>
    <row r="37" spans="1:29" s="3" customFormat="1" ht="15.75">
      <c r="C37" s="1"/>
      <c r="D37" s="57"/>
      <c r="E37" s="57"/>
      <c r="F37" s="57"/>
      <c r="I37" s="1"/>
      <c r="J37" s="1"/>
      <c r="K37" s="1"/>
      <c r="L37" s="1"/>
      <c r="M37" s="1"/>
      <c r="Q37" s="1"/>
      <c r="R37" s="1"/>
      <c r="W37" s="34"/>
      <c r="X37" s="34"/>
      <c r="Y37" s="1"/>
    </row>
    <row r="38" spans="1:29" s="3" customFormat="1" ht="15.75">
      <c r="C38" s="1"/>
      <c r="I38" s="1"/>
      <c r="J38" s="1"/>
      <c r="K38" s="1"/>
      <c r="L38" s="1"/>
      <c r="M38" s="1"/>
      <c r="Q38" s="383">
        <f>R35-R17-R22-R23</f>
        <v>307.37099999999998</v>
      </c>
      <c r="R38" s="210"/>
      <c r="Y38" s="210">
        <f>Y34-Y21-Y22</f>
        <v>309.392</v>
      </c>
      <c r="Z38" s="3" t="s">
        <v>379</v>
      </c>
    </row>
    <row r="39" spans="1:29" s="3" customFormat="1" ht="15.75">
      <c r="C39" s="1"/>
      <c r="H39" s="56"/>
      <c r="I39" s="1"/>
      <c r="J39" s="1"/>
      <c r="K39" s="1"/>
      <c r="L39" s="1"/>
      <c r="M39" s="1"/>
      <c r="Q39" s="1"/>
      <c r="R39" s="1"/>
      <c r="Y39" s="1"/>
    </row>
    <row r="40" spans="1:29" ht="15.75">
      <c r="A40" s="3"/>
      <c r="B40" s="3"/>
      <c r="C40" s="1"/>
      <c r="D40" s="3"/>
      <c r="E40" s="3"/>
      <c r="F40" s="3"/>
      <c r="G40" s="3"/>
      <c r="H40" s="56"/>
      <c r="I40" s="1"/>
      <c r="J40" s="1"/>
      <c r="K40" s="1"/>
      <c r="L40" s="1"/>
      <c r="M40" s="1"/>
      <c r="N40" s="3"/>
      <c r="O40" s="3"/>
      <c r="P40" s="3"/>
      <c r="Q40" s="210">
        <f>R35-R22-R23</f>
        <v>309.30799999999999</v>
      </c>
      <c r="R40" s="1"/>
      <c r="S40" s="3"/>
      <c r="T40" s="3"/>
      <c r="U40" s="3"/>
      <c r="V40" s="3"/>
    </row>
    <row r="41" spans="1:29" ht="15.75">
      <c r="B41" s="12" t="s">
        <v>95</v>
      </c>
      <c r="R41" s="210"/>
      <c r="U41" s="181"/>
    </row>
    <row r="42" spans="1:29">
      <c r="R42" s="2"/>
      <c r="U42" s="181"/>
    </row>
    <row r="43" spans="1:29">
      <c r="R43" s="2"/>
      <c r="U43" s="181"/>
    </row>
    <row r="44" spans="1:29">
      <c r="R44" s="2"/>
      <c r="U44" s="181"/>
    </row>
    <row r="45" spans="1:29" ht="15">
      <c r="H45" s="384">
        <f>J35/N35</f>
        <v>7.3800000000000004E-2</v>
      </c>
      <c r="R45" s="2"/>
      <c r="U45" s="181"/>
    </row>
    <row r="46" spans="1:29" ht="15">
      <c r="H46" s="384">
        <f>K35/O35</f>
        <v>3.27E-2</v>
      </c>
      <c r="R46" s="2"/>
      <c r="U46" s="181"/>
    </row>
    <row r="47" spans="1:29" ht="15">
      <c r="H47" s="384">
        <f>L35/P35</f>
        <v>6.1100000000000002E-2</v>
      </c>
      <c r="R47" s="2"/>
      <c r="U47" s="181"/>
    </row>
    <row r="48" spans="1:29">
      <c r="R48" s="2"/>
      <c r="U48" s="181"/>
    </row>
  </sheetData>
  <mergeCells count="30">
    <mergeCell ref="Y7:Y12"/>
    <mergeCell ref="Z7:Z12"/>
    <mergeCell ref="AA7:AA12"/>
    <mergeCell ref="AB7:AB12"/>
    <mergeCell ref="T7:T12"/>
    <mergeCell ref="U7:U12"/>
    <mergeCell ref="W7:W12"/>
    <mergeCell ref="X7:X12"/>
    <mergeCell ref="C2:S2"/>
    <mergeCell ref="C3:S3"/>
    <mergeCell ref="G5:M5"/>
    <mergeCell ref="G7:G12"/>
    <mergeCell ref="P7:P12"/>
    <mergeCell ref="Q7:Q12"/>
    <mergeCell ref="R7:R12"/>
    <mergeCell ref="S7:S12"/>
    <mergeCell ref="L7:L12"/>
    <mergeCell ref="M7:M12"/>
    <mergeCell ref="N7:N12"/>
    <mergeCell ref="O7:O12"/>
    <mergeCell ref="F7:F12"/>
    <mergeCell ref="H7:H12"/>
    <mergeCell ref="I7:I12"/>
    <mergeCell ref="J7:J12"/>
    <mergeCell ref="K7:K12"/>
    <mergeCell ref="A7:A12"/>
    <mergeCell ref="B7:B12"/>
    <mergeCell ref="C7:C12"/>
    <mergeCell ref="D7:D12"/>
    <mergeCell ref="E7:E12"/>
  </mergeCells>
  <phoneticPr fontId="2" type="noConversion"/>
  <pageMargins left="0.75" right="0.75" top="1" bottom="1" header="0.5" footer="0.5"/>
  <pageSetup paperSize="9" scale="44" orientation="landscape" verticalDpi="0" r:id="rId1"/>
  <headerFooter alignWithMargins="0"/>
  <colBreaks count="1" manualBreakCount="1"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10"/>
  </sheetPr>
  <dimension ref="A2:AC48"/>
  <sheetViews>
    <sheetView topLeftCell="D1" zoomScale="75" zoomScaleNormal="75" workbookViewId="0">
      <selection sqref="A1:IV65536"/>
    </sheetView>
  </sheetViews>
  <sheetFormatPr defaultRowHeight="12.75"/>
  <cols>
    <col min="1" max="1" width="4.42578125" style="181" customWidth="1"/>
    <col min="2" max="2" width="41.140625" style="181" customWidth="1"/>
    <col min="3" max="3" width="12.85546875" style="2" customWidth="1"/>
    <col min="4" max="4" width="12.140625" style="181" customWidth="1"/>
    <col min="5" max="5" width="11" style="181" customWidth="1"/>
    <col min="6" max="6" width="11.5703125" style="181" customWidth="1"/>
    <col min="7" max="7" width="15.42578125" style="181" customWidth="1"/>
    <col min="8" max="8" width="11.140625" style="186" customWidth="1"/>
    <col min="9" max="9" width="10.140625" style="2" customWidth="1"/>
    <col min="10" max="12" width="12.85546875" style="2" customWidth="1"/>
    <col min="13" max="13" width="15.5703125" style="2" customWidth="1"/>
    <col min="14" max="14" width="12.140625" style="181" customWidth="1"/>
    <col min="15" max="15" width="13.140625" style="181" customWidth="1"/>
    <col min="16" max="16" width="11.5703125" style="181" customWidth="1"/>
    <col min="17" max="17" width="19.42578125" style="2" customWidth="1"/>
    <col min="18" max="18" width="11.5703125" style="181" customWidth="1"/>
    <col min="19" max="19" width="11.28515625" style="181" customWidth="1"/>
    <col min="20" max="20" width="12.140625" style="181" customWidth="1"/>
    <col min="21" max="21" width="19.5703125" style="2" customWidth="1"/>
    <col min="22" max="22" width="12.42578125" style="181" customWidth="1"/>
    <col min="23" max="23" width="11.42578125" style="181" customWidth="1"/>
    <col min="24" max="24" width="11.7109375" style="181" customWidth="1"/>
    <col min="25" max="25" width="15.5703125" style="2" customWidth="1"/>
    <col min="26" max="26" width="12.28515625" style="181" customWidth="1"/>
    <col min="27" max="27" width="10.85546875" style="181" customWidth="1"/>
    <col min="28" max="28" width="11.140625" style="181" customWidth="1"/>
    <col min="29" max="16384" width="9.140625" style="181"/>
  </cols>
  <sheetData>
    <row r="2" spans="1:29" ht="18">
      <c r="C2" s="528" t="s">
        <v>311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1:29" ht="18">
      <c r="C3" s="528" t="s">
        <v>96</v>
      </c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</row>
    <row r="4" spans="1:29" ht="21" customHeight="1">
      <c r="J4" s="3" t="s">
        <v>312</v>
      </c>
      <c r="K4" s="65"/>
      <c r="L4" s="65"/>
      <c r="M4" s="64"/>
      <c r="N4" s="62">
        <f>'[3]Вхідні дані'!E30</f>
        <v>15</v>
      </c>
      <c r="O4" s="3" t="s">
        <v>313</v>
      </c>
    </row>
    <row r="5" spans="1:29" ht="15.75">
      <c r="A5" s="54"/>
      <c r="B5" s="54"/>
      <c r="C5" s="54"/>
      <c r="D5" s="54"/>
      <c r="E5" s="54"/>
      <c r="F5" s="54"/>
      <c r="G5" s="547" t="s">
        <v>314</v>
      </c>
      <c r="H5" s="547"/>
      <c r="I5" s="547"/>
      <c r="J5" s="547"/>
      <c r="K5" s="547"/>
      <c r="L5" s="547"/>
      <c r="M5" s="547"/>
      <c r="N5" s="62">
        <v>24</v>
      </c>
      <c r="O5" s="63" t="s">
        <v>313</v>
      </c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9" ht="13.5" thickBot="1"/>
    <row r="7" spans="1:29" s="3" customFormat="1" ht="15" customHeight="1">
      <c r="A7" s="508" t="s">
        <v>179</v>
      </c>
      <c r="B7" s="508" t="s">
        <v>235</v>
      </c>
      <c r="C7" s="508" t="s">
        <v>307</v>
      </c>
      <c r="D7" s="548" t="s">
        <v>284</v>
      </c>
      <c r="E7" s="548" t="s">
        <v>285</v>
      </c>
      <c r="F7" s="548" t="s">
        <v>286</v>
      </c>
      <c r="G7" s="551" t="s">
        <v>315</v>
      </c>
      <c r="H7" s="558" t="s">
        <v>316</v>
      </c>
      <c r="I7" s="556" t="s">
        <v>304</v>
      </c>
      <c r="J7" s="554" t="s">
        <v>284</v>
      </c>
      <c r="K7" s="554" t="s">
        <v>285</v>
      </c>
      <c r="L7" s="554" t="s">
        <v>286</v>
      </c>
      <c r="M7" s="556" t="s">
        <v>310</v>
      </c>
      <c r="N7" s="554" t="s">
        <v>284</v>
      </c>
      <c r="O7" s="554" t="s">
        <v>285</v>
      </c>
      <c r="P7" s="554" t="s">
        <v>286</v>
      </c>
      <c r="Q7" s="556" t="s">
        <v>305</v>
      </c>
      <c r="R7" s="556" t="s">
        <v>306</v>
      </c>
      <c r="S7" s="554" t="s">
        <v>284</v>
      </c>
      <c r="T7" s="554" t="s">
        <v>285</v>
      </c>
      <c r="U7" s="554" t="s">
        <v>286</v>
      </c>
      <c r="W7" s="554" t="s">
        <v>285</v>
      </c>
      <c r="X7" s="554" t="s">
        <v>286</v>
      </c>
      <c r="Y7" s="556" t="s">
        <v>306</v>
      </c>
      <c r="Z7" s="554" t="s">
        <v>284</v>
      </c>
      <c r="AA7" s="554" t="s">
        <v>285</v>
      </c>
      <c r="AB7" s="554" t="s">
        <v>286</v>
      </c>
    </row>
    <row r="8" spans="1:29" s="3" customFormat="1" ht="13.5" customHeight="1">
      <c r="A8" s="509"/>
      <c r="B8" s="509"/>
      <c r="C8" s="509"/>
      <c r="D8" s="549"/>
      <c r="E8" s="549"/>
      <c r="F8" s="549"/>
      <c r="G8" s="552"/>
      <c r="H8" s="559"/>
      <c r="I8" s="557"/>
      <c r="J8" s="555"/>
      <c r="K8" s="555"/>
      <c r="L8" s="555"/>
      <c r="M8" s="557"/>
      <c r="N8" s="555"/>
      <c r="O8" s="555"/>
      <c r="P8" s="555"/>
      <c r="Q8" s="557"/>
      <c r="R8" s="557"/>
      <c r="S8" s="555"/>
      <c r="T8" s="555"/>
      <c r="U8" s="555"/>
      <c r="W8" s="555"/>
      <c r="X8" s="555"/>
      <c r="Y8" s="557"/>
      <c r="Z8" s="555"/>
      <c r="AA8" s="555"/>
      <c r="AB8" s="555"/>
    </row>
    <row r="9" spans="1:29" s="3" customFormat="1" ht="15" customHeight="1">
      <c r="A9" s="509"/>
      <c r="B9" s="509"/>
      <c r="C9" s="509"/>
      <c r="D9" s="549"/>
      <c r="E9" s="549"/>
      <c r="F9" s="549"/>
      <c r="G9" s="552"/>
      <c r="H9" s="559"/>
      <c r="I9" s="557"/>
      <c r="J9" s="555"/>
      <c r="K9" s="555"/>
      <c r="L9" s="555"/>
      <c r="M9" s="557"/>
      <c r="N9" s="555"/>
      <c r="O9" s="555"/>
      <c r="P9" s="555"/>
      <c r="Q9" s="557"/>
      <c r="R9" s="557"/>
      <c r="S9" s="555"/>
      <c r="T9" s="555"/>
      <c r="U9" s="555"/>
      <c r="W9" s="555"/>
      <c r="X9" s="555"/>
      <c r="Y9" s="557"/>
      <c r="Z9" s="555"/>
      <c r="AA9" s="555"/>
      <c r="AB9" s="555"/>
    </row>
    <row r="10" spans="1:29" s="3" customFormat="1" ht="15" customHeight="1">
      <c r="A10" s="509"/>
      <c r="B10" s="509"/>
      <c r="C10" s="509"/>
      <c r="D10" s="549"/>
      <c r="E10" s="549"/>
      <c r="F10" s="549"/>
      <c r="G10" s="552"/>
      <c r="H10" s="559"/>
      <c r="I10" s="557"/>
      <c r="J10" s="555"/>
      <c r="K10" s="555"/>
      <c r="L10" s="555"/>
      <c r="M10" s="557"/>
      <c r="N10" s="555"/>
      <c r="O10" s="555"/>
      <c r="P10" s="555"/>
      <c r="Q10" s="557"/>
      <c r="R10" s="557"/>
      <c r="S10" s="555"/>
      <c r="T10" s="555"/>
      <c r="U10" s="555"/>
      <c r="W10" s="555"/>
      <c r="X10" s="555"/>
      <c r="Y10" s="557"/>
      <c r="Z10" s="555"/>
      <c r="AA10" s="555"/>
      <c r="AB10" s="555"/>
    </row>
    <row r="11" spans="1:29" s="3" customFormat="1" ht="12.75" customHeight="1">
      <c r="A11" s="509"/>
      <c r="B11" s="509"/>
      <c r="C11" s="509"/>
      <c r="D11" s="549"/>
      <c r="E11" s="549"/>
      <c r="F11" s="549"/>
      <c r="G11" s="552"/>
      <c r="H11" s="559"/>
      <c r="I11" s="557"/>
      <c r="J11" s="555"/>
      <c r="K11" s="555"/>
      <c r="L11" s="555"/>
      <c r="M11" s="557"/>
      <c r="N11" s="555"/>
      <c r="O11" s="555"/>
      <c r="P11" s="555"/>
      <c r="Q11" s="557"/>
      <c r="R11" s="557"/>
      <c r="S11" s="555"/>
      <c r="T11" s="555"/>
      <c r="U11" s="555"/>
      <c r="W11" s="555"/>
      <c r="X11" s="555"/>
      <c r="Y11" s="557"/>
      <c r="Z11" s="555"/>
      <c r="AA11" s="555"/>
      <c r="AB11" s="555"/>
    </row>
    <row r="12" spans="1:29" s="3" customFormat="1" ht="15.75" customHeight="1" thickBot="1">
      <c r="A12" s="510"/>
      <c r="B12" s="510"/>
      <c r="C12" s="510"/>
      <c r="D12" s="550"/>
      <c r="E12" s="550"/>
      <c r="F12" s="550"/>
      <c r="G12" s="553"/>
      <c r="H12" s="559"/>
      <c r="I12" s="557"/>
      <c r="J12" s="555"/>
      <c r="K12" s="555"/>
      <c r="L12" s="555"/>
      <c r="M12" s="557"/>
      <c r="N12" s="555"/>
      <c r="O12" s="555"/>
      <c r="P12" s="555"/>
      <c r="Q12" s="557"/>
      <c r="R12" s="557"/>
      <c r="S12" s="555"/>
      <c r="T12" s="555"/>
      <c r="U12" s="555"/>
      <c r="W12" s="555"/>
      <c r="X12" s="555"/>
      <c r="Y12" s="557"/>
      <c r="Z12" s="555"/>
      <c r="AA12" s="555"/>
      <c r="AB12" s="555"/>
    </row>
    <row r="13" spans="1:29" s="3" customFormat="1" ht="16.5" thickBo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21</v>
      </c>
      <c r="R13" s="52">
        <v>25</v>
      </c>
      <c r="S13" s="6">
        <v>26</v>
      </c>
      <c r="T13" s="6">
        <v>27</v>
      </c>
      <c r="U13" s="6">
        <v>28</v>
      </c>
      <c r="W13" s="6">
        <v>23</v>
      </c>
      <c r="X13" s="6">
        <v>24</v>
      </c>
      <c r="Y13" s="52">
        <v>25</v>
      </c>
      <c r="Z13" s="6">
        <v>26</v>
      </c>
      <c r="AA13" s="6">
        <v>27</v>
      </c>
      <c r="AB13" s="6">
        <v>28</v>
      </c>
    </row>
    <row r="14" spans="1:29" s="3" customFormat="1" ht="15.75">
      <c r="A14" s="16">
        <v>1</v>
      </c>
      <c r="B14" s="17" t="s">
        <v>216</v>
      </c>
      <c r="C14" s="92">
        <f>D14+E14+F14</f>
        <v>14.88</v>
      </c>
      <c r="D14" s="20">
        <f>'[3]Річна потреба ТЕ на опалення'!Q13</f>
        <v>0</v>
      </c>
      <c r="E14" s="20">
        <f>'[3]Річна потреба ТЕ на опалення'!AD13</f>
        <v>14.88</v>
      </c>
      <c r="F14" s="20">
        <f>'[3]Річна потреба ТЕ на опалення'!S13</f>
        <v>0</v>
      </c>
      <c r="G14" s="20">
        <v>60</v>
      </c>
      <c r="H14" s="23">
        <v>6.0000000000000001E-3</v>
      </c>
      <c r="I14" s="66">
        <f>M14-C14</f>
        <v>0.09</v>
      </c>
      <c r="J14" s="23">
        <f>N14-D14</f>
        <v>0</v>
      </c>
      <c r="K14" s="23">
        <f>O14-E14</f>
        <v>0.09</v>
      </c>
      <c r="L14" s="23">
        <f>P14-F14</f>
        <v>0</v>
      </c>
      <c r="M14" s="66">
        <f>C14/(100%-$H$14)</f>
        <v>14.97</v>
      </c>
      <c r="N14" s="23">
        <f>D14/(100%-H14)</f>
        <v>0</v>
      </c>
      <c r="O14" s="23">
        <f>E14/(100%-H14)</f>
        <v>14.97</v>
      </c>
      <c r="P14" s="23">
        <f>F14/(100%-H14)</f>
        <v>0</v>
      </c>
      <c r="Q14" s="66">
        <f t="shared" ref="Q14:Q34" si="0">R14-M14</f>
        <v>0.33700000000000002</v>
      </c>
      <c r="R14" s="66">
        <f>(C14+I14)/(100%-2.2%)</f>
        <v>15.307</v>
      </c>
      <c r="S14" s="23">
        <f>(D14+J14)/(100%-2.2%)</f>
        <v>0</v>
      </c>
      <c r="T14" s="23">
        <f>(E14+K14)/(100%-2.2%)</f>
        <v>15.307</v>
      </c>
      <c r="U14" s="23">
        <f>(F14+L14)/(100%-2.2%)</f>
        <v>0</v>
      </c>
      <c r="V14" s="33">
        <f>R14-S14-T14-U14</f>
        <v>0</v>
      </c>
      <c r="W14" s="23"/>
      <c r="X14" s="23"/>
      <c r="Y14" s="66">
        <f>(C14+I14+Q14)/(100%-2.2%)</f>
        <v>15.651</v>
      </c>
      <c r="Z14" s="23">
        <f>(D14+J14+R14)/(100%-2.2%)</f>
        <v>15.651</v>
      </c>
      <c r="AA14" s="23">
        <f t="shared" ref="AA14:AB25" si="1">(E14+K14+S14)/(100%-2.2%)</f>
        <v>15.307</v>
      </c>
      <c r="AB14" s="23">
        <f t="shared" si="1"/>
        <v>15.651</v>
      </c>
      <c r="AC14" s="33">
        <f>Y14-Z14-AA14-AB14</f>
        <v>-30.96</v>
      </c>
    </row>
    <row r="15" spans="1:29" s="3" customFormat="1" ht="15.75">
      <c r="A15" s="16">
        <v>2</v>
      </c>
      <c r="B15" s="21" t="s">
        <v>189</v>
      </c>
      <c r="C15" s="92">
        <f t="shared" ref="C15:C34" si="2">D15+E15+F15</f>
        <v>5.524</v>
      </c>
      <c r="D15" s="20">
        <f>'[3]Річна потреба ТЕ на опалення'!Q14</f>
        <v>0</v>
      </c>
      <c r="E15" s="20">
        <f>'[3]Річна потреба ТЕ на опалення'!AD14+'[3]Річна потреба ТЕ на опалення'!AD15</f>
        <v>5.524</v>
      </c>
      <c r="F15" s="20">
        <f>'[3]Річна потреба ТЕ на опалення'!S14</f>
        <v>0</v>
      </c>
      <c r="G15" s="23"/>
      <c r="H15" s="23"/>
      <c r="I15" s="66">
        <f t="shared" ref="I15:L34" si="3">M15-C15</f>
        <v>0</v>
      </c>
      <c r="J15" s="23">
        <f t="shared" si="3"/>
        <v>0</v>
      </c>
      <c r="K15" s="23">
        <f t="shared" si="3"/>
        <v>0</v>
      </c>
      <c r="L15" s="23">
        <f t="shared" si="3"/>
        <v>0</v>
      </c>
      <c r="M15" s="66">
        <f t="shared" ref="M15:M34" si="4">C15/(100%-H15)</f>
        <v>5.524</v>
      </c>
      <c r="N15" s="23">
        <f t="shared" ref="N15:N34" si="5">D15/(100%-H15)</f>
        <v>0</v>
      </c>
      <c r="O15" s="23">
        <f t="shared" ref="O15:O34" si="6">E15/(100%-H15)</f>
        <v>5.524</v>
      </c>
      <c r="P15" s="23">
        <f t="shared" ref="P15:P34" si="7">F15/(100%-H15)</f>
        <v>0</v>
      </c>
      <c r="Q15" s="66">
        <f t="shared" si="0"/>
        <v>0.124</v>
      </c>
      <c r="R15" s="66">
        <f t="shared" ref="R15:U34" si="8">(C15+I15)/(100%-2.2%)</f>
        <v>5.6479999999999997</v>
      </c>
      <c r="S15" s="23">
        <f t="shared" si="8"/>
        <v>0</v>
      </c>
      <c r="T15" s="23">
        <f t="shared" si="8"/>
        <v>5.6479999999999997</v>
      </c>
      <c r="U15" s="23">
        <f t="shared" si="8"/>
        <v>0</v>
      </c>
      <c r="V15" s="33">
        <f t="shared" ref="V15:V35" si="9">R15-S15-T15-U15</f>
        <v>0</v>
      </c>
      <c r="W15" s="23"/>
      <c r="X15" s="23"/>
      <c r="Y15" s="66">
        <f t="shared" ref="Y15:AB33" si="10">(C15+I15+Q15)/(100%-2.2%)</f>
        <v>5.7750000000000004</v>
      </c>
      <c r="Z15" s="23">
        <f t="shared" si="10"/>
        <v>5.7750000000000004</v>
      </c>
      <c r="AA15" s="23">
        <f t="shared" si="1"/>
        <v>5.6479999999999997</v>
      </c>
      <c r="AB15" s="23">
        <f t="shared" si="1"/>
        <v>5.7750000000000004</v>
      </c>
      <c r="AC15" s="33">
        <f t="shared" ref="AC15:AC34" si="11">Y15-Z15-AA15-AB15</f>
        <v>-11.42</v>
      </c>
    </row>
    <row r="16" spans="1:29" s="3" customFormat="1" ht="15.75">
      <c r="A16" s="22">
        <v>3</v>
      </c>
      <c r="B16" s="21" t="s">
        <v>217</v>
      </c>
      <c r="C16" s="92">
        <f t="shared" si="2"/>
        <v>13.186999999999999</v>
      </c>
      <c r="D16" s="20">
        <f>'[3]Річна потреба ТЕ на опалення'!Q15</f>
        <v>0</v>
      </c>
      <c r="E16" s="20">
        <f>'[3]Річна потреба ТЕ на опалення'!AD16</f>
        <v>13.186999999999999</v>
      </c>
      <c r="F16" s="20">
        <f>'[3]Річна потреба ТЕ на опалення'!S15</f>
        <v>0</v>
      </c>
      <c r="G16" s="93">
        <v>42</v>
      </c>
      <c r="H16" s="93">
        <v>4.0000000000000001E-3</v>
      </c>
      <c r="I16" s="66">
        <f t="shared" si="3"/>
        <v>5.2999999999999999E-2</v>
      </c>
      <c r="J16" s="23">
        <f t="shared" si="3"/>
        <v>0</v>
      </c>
      <c r="K16" s="23">
        <f t="shared" si="3"/>
        <v>5.2999999999999999E-2</v>
      </c>
      <c r="L16" s="23">
        <f t="shared" si="3"/>
        <v>0</v>
      </c>
      <c r="M16" s="66">
        <f t="shared" si="4"/>
        <v>13.24</v>
      </c>
      <c r="N16" s="23">
        <f t="shared" si="5"/>
        <v>0</v>
      </c>
      <c r="O16" s="23">
        <f t="shared" si="6"/>
        <v>13.24</v>
      </c>
      <c r="P16" s="23">
        <f t="shared" si="7"/>
        <v>0</v>
      </c>
      <c r="Q16" s="66">
        <f t="shared" si="0"/>
        <v>0.29799999999999999</v>
      </c>
      <c r="R16" s="66">
        <f t="shared" si="8"/>
        <v>13.538</v>
      </c>
      <c r="S16" s="23">
        <f t="shared" si="8"/>
        <v>0</v>
      </c>
      <c r="T16" s="23">
        <f t="shared" si="8"/>
        <v>13.538</v>
      </c>
      <c r="U16" s="23">
        <f t="shared" si="8"/>
        <v>0</v>
      </c>
      <c r="V16" s="33">
        <f t="shared" si="9"/>
        <v>0</v>
      </c>
      <c r="W16" s="23"/>
      <c r="X16" s="23"/>
      <c r="Y16" s="66">
        <f t="shared" si="10"/>
        <v>13.843</v>
      </c>
      <c r="Z16" s="23">
        <f t="shared" si="10"/>
        <v>13.843</v>
      </c>
      <c r="AA16" s="23">
        <f t="shared" si="1"/>
        <v>13.538</v>
      </c>
      <c r="AB16" s="23">
        <f t="shared" si="1"/>
        <v>13.843</v>
      </c>
      <c r="AC16" s="33">
        <f t="shared" si="11"/>
        <v>-27.38</v>
      </c>
    </row>
    <row r="17" spans="1:29" s="3" customFormat="1" ht="15.75">
      <c r="A17" s="72">
        <v>4</v>
      </c>
      <c r="B17" s="76" t="s">
        <v>218</v>
      </c>
      <c r="C17" s="94">
        <f t="shared" si="2"/>
        <v>3.1190000000000002</v>
      </c>
      <c r="D17" s="20">
        <f>'[3]Річна потреба ТЕ на опалення'!T17</f>
        <v>0</v>
      </c>
      <c r="E17" s="20">
        <f>'[3]Річна потреба ТЕ на опалення'!U17</f>
        <v>0</v>
      </c>
      <c r="F17" s="20">
        <f>'[3]Річна потреба ТЕ на опалення'!AE17</f>
        <v>3.1190000000000002</v>
      </c>
      <c r="G17" s="96">
        <f>0.02*1000</f>
        <v>20</v>
      </c>
      <c r="H17" s="205">
        <f>G17/100*1%</f>
        <v>2E-3</v>
      </c>
      <c r="I17" s="97">
        <f t="shared" si="3"/>
        <v>6.0000000000000001E-3</v>
      </c>
      <c r="J17" s="96">
        <f t="shared" si="3"/>
        <v>0</v>
      </c>
      <c r="K17" s="96">
        <f t="shared" si="3"/>
        <v>0</v>
      </c>
      <c r="L17" s="96">
        <f>P17-F17</f>
        <v>6.0000000000000001E-3</v>
      </c>
      <c r="M17" s="97">
        <f t="shared" si="4"/>
        <v>3.125</v>
      </c>
      <c r="N17" s="96">
        <f t="shared" si="5"/>
        <v>0</v>
      </c>
      <c r="O17" s="96">
        <f t="shared" si="6"/>
        <v>0</v>
      </c>
      <c r="P17" s="96">
        <f t="shared" si="7"/>
        <v>3.125</v>
      </c>
      <c r="Q17" s="66">
        <f t="shared" si="0"/>
        <v>7.0000000000000007E-2</v>
      </c>
      <c r="R17" s="66">
        <f t="shared" si="8"/>
        <v>3.1949999999999998</v>
      </c>
      <c r="S17" s="23">
        <f t="shared" si="8"/>
        <v>0</v>
      </c>
      <c r="T17" s="23">
        <f t="shared" si="8"/>
        <v>0</v>
      </c>
      <c r="U17" s="23">
        <f t="shared" si="8"/>
        <v>3.1949999999999998</v>
      </c>
      <c r="V17" s="33">
        <f t="shared" si="9"/>
        <v>0</v>
      </c>
      <c r="W17" s="96"/>
      <c r="X17" s="96"/>
      <c r="Y17" s="97">
        <f t="shared" si="10"/>
        <v>3.2669999999999999</v>
      </c>
      <c r="Z17" s="96">
        <f t="shared" si="10"/>
        <v>3.2669999999999999</v>
      </c>
      <c r="AA17" s="96">
        <f t="shared" si="1"/>
        <v>0</v>
      </c>
      <c r="AB17" s="96">
        <f t="shared" si="1"/>
        <v>3.1949999999999998</v>
      </c>
      <c r="AC17" s="33">
        <f t="shared" si="11"/>
        <v>-3.2</v>
      </c>
    </row>
    <row r="18" spans="1:29" s="3" customFormat="1" ht="15.75">
      <c r="A18" s="22">
        <v>5</v>
      </c>
      <c r="B18" s="21" t="s">
        <v>359</v>
      </c>
      <c r="C18" s="92">
        <f t="shared" si="2"/>
        <v>16.573</v>
      </c>
      <c r="D18" s="20">
        <f>'[3]Річна потреба ТЕ на опалення'!Q17</f>
        <v>0</v>
      </c>
      <c r="E18" s="20">
        <f>'[3]Річна потреба ТЕ на опалення'!AD18</f>
        <v>16.573</v>
      </c>
      <c r="F18" s="20">
        <v>0</v>
      </c>
      <c r="G18" s="93">
        <f>0.07*1000</f>
        <v>70</v>
      </c>
      <c r="H18" s="206">
        <f>G18/100*1%</f>
        <v>7.0000000000000001E-3</v>
      </c>
      <c r="I18" s="66">
        <f t="shared" si="3"/>
        <v>0.11700000000000001</v>
      </c>
      <c r="J18" s="23">
        <f t="shared" si="3"/>
        <v>0</v>
      </c>
      <c r="K18" s="23">
        <f t="shared" si="3"/>
        <v>0.11700000000000001</v>
      </c>
      <c r="L18" s="23">
        <f t="shared" si="3"/>
        <v>0</v>
      </c>
      <c r="M18" s="66">
        <f t="shared" si="4"/>
        <v>16.690000000000001</v>
      </c>
      <c r="N18" s="23">
        <f t="shared" si="5"/>
        <v>0</v>
      </c>
      <c r="O18" s="23">
        <f t="shared" si="6"/>
        <v>16.690000000000001</v>
      </c>
      <c r="P18" s="23">
        <f t="shared" si="7"/>
        <v>0</v>
      </c>
      <c r="Q18" s="66">
        <f t="shared" si="0"/>
        <v>0.375</v>
      </c>
      <c r="R18" s="66">
        <f t="shared" si="8"/>
        <v>17.065000000000001</v>
      </c>
      <c r="S18" s="23">
        <f t="shared" si="8"/>
        <v>0</v>
      </c>
      <c r="T18" s="23">
        <f t="shared" si="8"/>
        <v>17.065000000000001</v>
      </c>
      <c r="U18" s="23">
        <f t="shared" si="8"/>
        <v>0</v>
      </c>
      <c r="V18" s="33">
        <f t="shared" si="9"/>
        <v>0</v>
      </c>
      <c r="W18" s="23"/>
      <c r="X18" s="23"/>
      <c r="Y18" s="66">
        <f t="shared" si="10"/>
        <v>17.449000000000002</v>
      </c>
      <c r="Z18" s="23">
        <f t="shared" si="10"/>
        <v>17.449000000000002</v>
      </c>
      <c r="AA18" s="23">
        <f t="shared" si="1"/>
        <v>17.065000000000001</v>
      </c>
      <c r="AB18" s="23">
        <f t="shared" si="1"/>
        <v>17.449000000000002</v>
      </c>
      <c r="AC18" s="33">
        <f t="shared" si="11"/>
        <v>-34.51</v>
      </c>
    </row>
    <row r="19" spans="1:29" s="3" customFormat="1" ht="15.75">
      <c r="A19" s="22">
        <v>6</v>
      </c>
      <c r="B19" s="21" t="s">
        <v>190</v>
      </c>
      <c r="C19" s="92">
        <f t="shared" si="2"/>
        <v>7.1280000000000001</v>
      </c>
      <c r="D19" s="20">
        <f>'[3]Річна потреба ТЕ на опалення'!Q18</f>
        <v>0</v>
      </c>
      <c r="E19" s="20">
        <f>'[3]Річна потреба ТЕ на опалення'!AD19</f>
        <v>7.1280000000000001</v>
      </c>
      <c r="F19" s="20">
        <f>'[3]Річна потреба ТЕ на опалення'!S18</f>
        <v>0</v>
      </c>
      <c r="G19" s="93">
        <v>23</v>
      </c>
      <c r="H19" s="206">
        <v>2.3E-3</v>
      </c>
      <c r="I19" s="66">
        <f t="shared" si="3"/>
        <v>1.6E-2</v>
      </c>
      <c r="J19" s="23">
        <f t="shared" si="3"/>
        <v>0</v>
      </c>
      <c r="K19" s="23">
        <f t="shared" si="3"/>
        <v>1.6E-2</v>
      </c>
      <c r="L19" s="23">
        <f t="shared" si="3"/>
        <v>0</v>
      </c>
      <c r="M19" s="66">
        <f t="shared" si="4"/>
        <v>7.1440000000000001</v>
      </c>
      <c r="N19" s="23">
        <f t="shared" si="5"/>
        <v>0</v>
      </c>
      <c r="O19" s="23">
        <f t="shared" si="6"/>
        <v>7.1440000000000001</v>
      </c>
      <c r="P19" s="23">
        <f t="shared" si="7"/>
        <v>0</v>
      </c>
      <c r="Q19" s="66">
        <f t="shared" si="0"/>
        <v>0.161</v>
      </c>
      <c r="R19" s="66">
        <f t="shared" si="8"/>
        <v>7.3049999999999997</v>
      </c>
      <c r="S19" s="23">
        <f t="shared" si="8"/>
        <v>0</v>
      </c>
      <c r="T19" s="23">
        <f t="shared" si="8"/>
        <v>7.3049999999999997</v>
      </c>
      <c r="U19" s="23">
        <f t="shared" si="8"/>
        <v>0</v>
      </c>
      <c r="V19" s="33">
        <f t="shared" si="9"/>
        <v>0</v>
      </c>
      <c r="W19" s="23"/>
      <c r="X19" s="23"/>
      <c r="Y19" s="66">
        <f t="shared" si="10"/>
        <v>7.4690000000000003</v>
      </c>
      <c r="Z19" s="23">
        <f t="shared" si="10"/>
        <v>7.4690000000000003</v>
      </c>
      <c r="AA19" s="23">
        <f t="shared" si="1"/>
        <v>7.3049999999999997</v>
      </c>
      <c r="AB19" s="23">
        <f t="shared" si="1"/>
        <v>7.4690000000000003</v>
      </c>
      <c r="AC19" s="33">
        <f t="shared" si="11"/>
        <v>-14.77</v>
      </c>
    </row>
    <row r="20" spans="1:29" s="3" customFormat="1" ht="15.75">
      <c r="A20" s="22">
        <v>7</v>
      </c>
      <c r="B20" s="21" t="s">
        <v>360</v>
      </c>
      <c r="C20" s="92">
        <f t="shared" si="2"/>
        <v>9.9169999999999998</v>
      </c>
      <c r="D20" s="20">
        <f>'[3]Річна потреба ТЕ на опалення'!Q19</f>
        <v>0</v>
      </c>
      <c r="E20" s="20">
        <f>'[3]Річна потреба ТЕ на опалення'!AD23</f>
        <v>9.9169999999999998</v>
      </c>
      <c r="F20" s="20">
        <f>'[3]Річна потреба ТЕ на опалення'!S19</f>
        <v>0</v>
      </c>
      <c r="G20" s="23">
        <v>225.5</v>
      </c>
      <c r="H20" s="207">
        <v>2.2599999999999999E-2</v>
      </c>
      <c r="I20" s="66">
        <f t="shared" si="3"/>
        <v>0.22900000000000001</v>
      </c>
      <c r="J20" s="23">
        <f t="shared" si="3"/>
        <v>0</v>
      </c>
      <c r="K20" s="23">
        <f t="shared" si="3"/>
        <v>0.22900000000000001</v>
      </c>
      <c r="L20" s="23">
        <f t="shared" si="3"/>
        <v>0</v>
      </c>
      <c r="M20" s="66">
        <f t="shared" si="4"/>
        <v>10.146000000000001</v>
      </c>
      <c r="N20" s="23">
        <f t="shared" si="5"/>
        <v>0</v>
      </c>
      <c r="O20" s="23">
        <f t="shared" si="6"/>
        <v>10.146000000000001</v>
      </c>
      <c r="P20" s="23">
        <f t="shared" si="7"/>
        <v>0</v>
      </c>
      <c r="Q20" s="66">
        <f t="shared" si="0"/>
        <v>0.22800000000000001</v>
      </c>
      <c r="R20" s="66">
        <f t="shared" si="8"/>
        <v>10.374000000000001</v>
      </c>
      <c r="S20" s="23">
        <f t="shared" si="8"/>
        <v>0</v>
      </c>
      <c r="T20" s="23">
        <f t="shared" si="8"/>
        <v>10.374000000000001</v>
      </c>
      <c r="U20" s="23">
        <f t="shared" si="8"/>
        <v>0</v>
      </c>
      <c r="V20" s="33"/>
      <c r="W20" s="23"/>
      <c r="X20" s="23"/>
      <c r="Y20" s="66">
        <f t="shared" si="10"/>
        <v>10.606999999999999</v>
      </c>
      <c r="Z20" s="23">
        <f t="shared" si="10"/>
        <v>10.606999999999999</v>
      </c>
      <c r="AA20" s="23">
        <f t="shared" si="1"/>
        <v>10.374000000000001</v>
      </c>
      <c r="AB20" s="23">
        <f t="shared" si="1"/>
        <v>10.606999999999999</v>
      </c>
      <c r="AC20" s="33"/>
    </row>
    <row r="21" spans="1:29" s="3" customFormat="1" ht="15.75">
      <c r="A21" s="22">
        <v>8</v>
      </c>
      <c r="B21" s="21" t="s">
        <v>168</v>
      </c>
      <c r="C21" s="92">
        <f t="shared" si="2"/>
        <v>9.0879999999999992</v>
      </c>
      <c r="D21" s="20">
        <f>'[3]Річна потреба ТЕ на опалення'!Q20</f>
        <v>0</v>
      </c>
      <c r="E21" s="20">
        <f>'[3]Річна потреба ТЕ на опалення'!AD24</f>
        <v>9.0879999999999992</v>
      </c>
      <c r="F21" s="20">
        <f>'[3]Річна потреба ТЕ на опалення'!S20</f>
        <v>0</v>
      </c>
      <c r="G21" s="20"/>
      <c r="H21" s="207"/>
      <c r="I21" s="66">
        <f t="shared" si="3"/>
        <v>0</v>
      </c>
      <c r="J21" s="23">
        <f t="shared" si="3"/>
        <v>0</v>
      </c>
      <c r="K21" s="23">
        <f t="shared" si="3"/>
        <v>0</v>
      </c>
      <c r="L21" s="23">
        <f t="shared" si="3"/>
        <v>0</v>
      </c>
      <c r="M21" s="66">
        <f t="shared" si="4"/>
        <v>9.0879999999999992</v>
      </c>
      <c r="N21" s="23">
        <f>D21/(100%-H21)</f>
        <v>0</v>
      </c>
      <c r="O21" s="23">
        <f>E21/(100%-H21)</f>
        <v>9.0879999999999992</v>
      </c>
      <c r="P21" s="23">
        <f>F21/(100%-H21)</f>
        <v>0</v>
      </c>
      <c r="Q21" s="66">
        <f t="shared" si="0"/>
        <v>0.20399999999999999</v>
      </c>
      <c r="R21" s="66">
        <f t="shared" si="8"/>
        <v>9.2919999999999998</v>
      </c>
      <c r="S21" s="23">
        <f t="shared" si="8"/>
        <v>0</v>
      </c>
      <c r="T21" s="23">
        <f t="shared" si="8"/>
        <v>9.2919999999999998</v>
      </c>
      <c r="U21" s="23">
        <f t="shared" si="8"/>
        <v>0</v>
      </c>
      <c r="V21" s="33"/>
      <c r="W21" s="23"/>
      <c r="X21" s="23"/>
      <c r="Y21" s="66">
        <f t="shared" si="10"/>
        <v>9.5009999999999994</v>
      </c>
      <c r="Z21" s="23">
        <f t="shared" si="10"/>
        <v>9.5009999999999994</v>
      </c>
      <c r="AA21" s="23">
        <f t="shared" si="1"/>
        <v>9.2919999999999998</v>
      </c>
      <c r="AB21" s="23">
        <f t="shared" si="1"/>
        <v>9.5009999999999994</v>
      </c>
      <c r="AC21" s="33">
        <f t="shared" si="11"/>
        <v>-18.79</v>
      </c>
    </row>
    <row r="22" spans="1:29" s="3" customFormat="1" ht="15.75">
      <c r="A22" s="22">
        <v>9</v>
      </c>
      <c r="B22" s="21" t="s">
        <v>221</v>
      </c>
      <c r="C22" s="92">
        <f>D22+E22+F22</f>
        <v>0.63300000000000001</v>
      </c>
      <c r="D22" s="20">
        <f>'[3]Річна потреба ТЕ на опалення'!Q21</f>
        <v>0</v>
      </c>
      <c r="E22" s="20">
        <f>'[3]Річна потреба ТЕ на опалення'!AD25</f>
        <v>0.63300000000000001</v>
      </c>
      <c r="F22" s="20">
        <f>'[3]Річна потреба ТЕ на опалення'!S21</f>
        <v>0</v>
      </c>
      <c r="G22" s="23"/>
      <c r="H22" s="207"/>
      <c r="I22" s="66">
        <f t="shared" si="3"/>
        <v>0</v>
      </c>
      <c r="J22" s="23">
        <f t="shared" si="3"/>
        <v>0</v>
      </c>
      <c r="K22" s="23">
        <f t="shared" si="3"/>
        <v>0</v>
      </c>
      <c r="L22" s="23">
        <f t="shared" si="3"/>
        <v>0</v>
      </c>
      <c r="M22" s="66">
        <f>C22/(100%-H22)</f>
        <v>0.63300000000000001</v>
      </c>
      <c r="N22" s="23">
        <f>D22/(100%-H22)</f>
        <v>0</v>
      </c>
      <c r="O22" s="23">
        <f>E22/(100%-H22)</f>
        <v>0.63300000000000001</v>
      </c>
      <c r="P22" s="23">
        <f>F22/(100%-H22)</f>
        <v>0</v>
      </c>
      <c r="Q22" s="66">
        <f t="shared" si="0"/>
        <v>1.4E-2</v>
      </c>
      <c r="R22" s="66">
        <f t="shared" si="8"/>
        <v>0.64700000000000002</v>
      </c>
      <c r="S22" s="23">
        <f t="shared" si="8"/>
        <v>0</v>
      </c>
      <c r="T22" s="23">
        <f t="shared" si="8"/>
        <v>0.64700000000000002</v>
      </c>
      <c r="U22" s="23">
        <f t="shared" si="8"/>
        <v>0</v>
      </c>
      <c r="V22" s="33" t="e">
        <f>#REF!-#REF!-#REF!-#REF!</f>
        <v>#REF!</v>
      </c>
      <c r="W22" s="23"/>
      <c r="X22" s="23"/>
      <c r="Y22" s="66">
        <f t="shared" si="10"/>
        <v>0.66200000000000003</v>
      </c>
      <c r="Z22" s="23">
        <f t="shared" si="10"/>
        <v>0.66200000000000003</v>
      </c>
      <c r="AA22" s="23">
        <f t="shared" si="1"/>
        <v>0.64700000000000002</v>
      </c>
      <c r="AB22" s="23">
        <f t="shared" si="1"/>
        <v>0.66200000000000003</v>
      </c>
      <c r="AC22" s="33">
        <f t="shared" si="11"/>
        <v>-1.31</v>
      </c>
    </row>
    <row r="23" spans="1:29" s="3" customFormat="1" ht="15.75">
      <c r="A23" s="22">
        <v>10</v>
      </c>
      <c r="B23" s="21" t="s">
        <v>222</v>
      </c>
      <c r="C23" s="98">
        <f>D23+E23+F23</f>
        <v>2.29</v>
      </c>
      <c r="D23" s="20">
        <f>'[3]Річна потреба ТЕ на опалення'!Q22</f>
        <v>0</v>
      </c>
      <c r="E23" s="20">
        <f>'[3]Річна потреба ТЕ на опалення'!AD26</f>
        <v>2.29</v>
      </c>
      <c r="F23" s="20">
        <f>'[3]Річна потреба ТЕ на опалення'!S22</f>
        <v>0</v>
      </c>
      <c r="G23" s="30"/>
      <c r="H23" s="31"/>
      <c r="I23" s="99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99">
        <f>C23/(100%-H23)</f>
        <v>2.29</v>
      </c>
      <c r="N23" s="30">
        <f>D23/(100%-H23)</f>
        <v>0</v>
      </c>
      <c r="O23" s="30">
        <f>E23/(100%-H23)</f>
        <v>2.29</v>
      </c>
      <c r="P23" s="30">
        <f>F23/(100%-H23)</f>
        <v>0</v>
      </c>
      <c r="Q23" s="66">
        <f t="shared" si="0"/>
        <v>5.1999999999999998E-2</v>
      </c>
      <c r="R23" s="66">
        <f t="shared" si="8"/>
        <v>2.3420000000000001</v>
      </c>
      <c r="S23" s="23">
        <f t="shared" si="8"/>
        <v>0</v>
      </c>
      <c r="T23" s="23">
        <f t="shared" si="8"/>
        <v>2.3420000000000001</v>
      </c>
      <c r="U23" s="23">
        <f t="shared" si="8"/>
        <v>0</v>
      </c>
      <c r="V23" s="33">
        <f>R22-S22-T22-U22</f>
        <v>0</v>
      </c>
      <c r="W23" s="23"/>
      <c r="X23" s="23"/>
      <c r="Y23" s="66">
        <f t="shared" si="10"/>
        <v>2.395</v>
      </c>
      <c r="Z23" s="23">
        <f t="shared" si="10"/>
        <v>2.395</v>
      </c>
      <c r="AA23" s="23">
        <f t="shared" si="1"/>
        <v>2.3420000000000001</v>
      </c>
      <c r="AB23" s="23">
        <f t="shared" si="1"/>
        <v>2.395</v>
      </c>
      <c r="AC23" s="33">
        <f t="shared" si="11"/>
        <v>-4.74</v>
      </c>
    </row>
    <row r="24" spans="1:29" s="3" customFormat="1" ht="15.75">
      <c r="A24" s="22">
        <v>11</v>
      </c>
      <c r="B24" s="21" t="s">
        <v>223</v>
      </c>
      <c r="C24" s="98">
        <f>D24+E24+F24</f>
        <v>24.146000000000001</v>
      </c>
      <c r="D24" s="20">
        <f>'[3]Річна потреба ТЕ на опалення'!Q23</f>
        <v>0</v>
      </c>
      <c r="E24" s="20">
        <f>'[3]Річна потреба ТЕ на опалення'!AD27</f>
        <v>24.146000000000001</v>
      </c>
      <c r="F24" s="20">
        <f>'[3]Річна потреба ТЕ на опалення'!S23</f>
        <v>0</v>
      </c>
      <c r="G24" s="30"/>
      <c r="H24" s="31"/>
      <c r="I24" s="99">
        <f t="shared" si="3"/>
        <v>0</v>
      </c>
      <c r="J24" s="30">
        <f t="shared" si="3"/>
        <v>0</v>
      </c>
      <c r="K24" s="30">
        <f t="shared" si="3"/>
        <v>0</v>
      </c>
      <c r="L24" s="30">
        <f t="shared" si="3"/>
        <v>0</v>
      </c>
      <c r="M24" s="99">
        <f>C24/(100%-H24)</f>
        <v>24.146000000000001</v>
      </c>
      <c r="N24" s="30">
        <f>D24/(100%-H24)</f>
        <v>0</v>
      </c>
      <c r="O24" s="30">
        <f>E24/(100%-H24)</f>
        <v>24.146000000000001</v>
      </c>
      <c r="P24" s="30">
        <f>F24/(100%-H24)</f>
        <v>0</v>
      </c>
      <c r="Q24" s="66">
        <f t="shared" si="0"/>
        <v>0.54300000000000004</v>
      </c>
      <c r="R24" s="66">
        <f t="shared" si="8"/>
        <v>24.689</v>
      </c>
      <c r="S24" s="23">
        <f t="shared" si="8"/>
        <v>0</v>
      </c>
      <c r="T24" s="23">
        <f t="shared" si="8"/>
        <v>24.689</v>
      </c>
      <c r="U24" s="23">
        <f t="shared" si="8"/>
        <v>0</v>
      </c>
      <c r="V24" s="33">
        <f>R23-S23-T23-U23</f>
        <v>0</v>
      </c>
      <c r="W24" s="23"/>
      <c r="X24" s="23"/>
      <c r="Y24" s="66">
        <f t="shared" si="10"/>
        <v>25.244</v>
      </c>
      <c r="Z24" s="23">
        <f t="shared" si="10"/>
        <v>25.244</v>
      </c>
      <c r="AA24" s="23">
        <f t="shared" si="1"/>
        <v>24.689</v>
      </c>
      <c r="AB24" s="23">
        <f t="shared" si="1"/>
        <v>25.244</v>
      </c>
      <c r="AC24" s="33">
        <f t="shared" si="11"/>
        <v>-49.93</v>
      </c>
    </row>
    <row r="25" spans="1:29" s="3" customFormat="1" ht="15.75">
      <c r="A25" s="22">
        <v>12</v>
      </c>
      <c r="B25" s="21" t="s">
        <v>224</v>
      </c>
      <c r="C25" s="92">
        <f t="shared" si="2"/>
        <v>106.502</v>
      </c>
      <c r="D25" s="20">
        <f>'[3]Річна потреба ТЕ на опалення'!AC44</f>
        <v>9.891</v>
      </c>
      <c r="E25" s="20">
        <f>'[3]Річна потреба ТЕ на опалення'!AD44</f>
        <v>96.611000000000004</v>
      </c>
      <c r="F25" s="20">
        <f>'[3]Річна потреба ТЕ на опалення'!AB44</f>
        <v>0</v>
      </c>
      <c r="G25" s="20">
        <v>1464</v>
      </c>
      <c r="H25" s="209">
        <v>7.5800000000000006E-2</v>
      </c>
      <c r="I25" s="92">
        <f t="shared" si="3"/>
        <v>8.7349999999999994</v>
      </c>
      <c r="J25" s="20">
        <f t="shared" si="3"/>
        <v>0.81100000000000005</v>
      </c>
      <c r="K25" s="20">
        <f t="shared" si="3"/>
        <v>7.9240000000000004</v>
      </c>
      <c r="L25" s="20">
        <f t="shared" si="3"/>
        <v>0</v>
      </c>
      <c r="M25" s="92">
        <f t="shared" si="4"/>
        <v>115.23699999999999</v>
      </c>
      <c r="N25" s="20">
        <f t="shared" si="5"/>
        <v>10.702</v>
      </c>
      <c r="O25" s="20">
        <f t="shared" si="6"/>
        <v>104.535</v>
      </c>
      <c r="P25" s="20">
        <f t="shared" si="7"/>
        <v>0</v>
      </c>
      <c r="Q25" s="66">
        <f t="shared" si="0"/>
        <v>2.5920000000000001</v>
      </c>
      <c r="R25" s="66">
        <f t="shared" si="8"/>
        <v>117.82899999999999</v>
      </c>
      <c r="S25" s="23">
        <f t="shared" si="8"/>
        <v>10.943</v>
      </c>
      <c r="T25" s="23">
        <f t="shared" si="8"/>
        <v>106.887</v>
      </c>
      <c r="U25" s="23">
        <f t="shared" si="8"/>
        <v>0</v>
      </c>
      <c r="V25" s="33">
        <f t="shared" si="9"/>
        <v>0</v>
      </c>
      <c r="W25" s="23"/>
      <c r="X25" s="23"/>
      <c r="Y25" s="66">
        <f t="shared" si="10"/>
        <v>120.48</v>
      </c>
      <c r="Z25" s="23">
        <f t="shared" si="10"/>
        <v>131.422</v>
      </c>
      <c r="AA25" s="23">
        <f t="shared" si="1"/>
        <v>118.07599999999999</v>
      </c>
      <c r="AB25" s="23">
        <f t="shared" si="1"/>
        <v>109.291</v>
      </c>
      <c r="AC25" s="33">
        <f t="shared" si="11"/>
        <v>-238.31</v>
      </c>
    </row>
    <row r="26" spans="1:29" s="3" customFormat="1" ht="15.75">
      <c r="A26" s="22">
        <v>13</v>
      </c>
      <c r="B26" s="21" t="s">
        <v>225</v>
      </c>
      <c r="C26" s="92">
        <f t="shared" si="2"/>
        <v>110.76</v>
      </c>
      <c r="D26" s="20">
        <f>'[3]Річна потреба ТЕ на опалення'!AC52</f>
        <v>11.048</v>
      </c>
      <c r="E26" s="20">
        <f>'[3]Річна потреба ТЕ на опалення'!AD52</f>
        <v>83.754000000000005</v>
      </c>
      <c r="F26" s="20">
        <f>'[3]Річна потреба ТЕ на опалення'!AE52</f>
        <v>15.958</v>
      </c>
      <c r="G26" s="23">
        <v>1398</v>
      </c>
      <c r="H26" s="207">
        <v>7.1900000000000006E-2</v>
      </c>
      <c r="I26" s="66">
        <f t="shared" si="3"/>
        <v>8.5809999999999995</v>
      </c>
      <c r="J26" s="23">
        <f t="shared" si="3"/>
        <v>0.85599999999999998</v>
      </c>
      <c r="K26" s="23">
        <f t="shared" si="3"/>
        <v>6.4880000000000004</v>
      </c>
      <c r="L26" s="23">
        <f t="shared" si="3"/>
        <v>1.236</v>
      </c>
      <c r="M26" s="66">
        <f t="shared" si="4"/>
        <v>119.34099999999999</v>
      </c>
      <c r="N26" s="23">
        <f t="shared" si="5"/>
        <v>11.904</v>
      </c>
      <c r="O26" s="23">
        <f t="shared" si="6"/>
        <v>90.242000000000004</v>
      </c>
      <c r="P26" s="23">
        <f t="shared" si="7"/>
        <v>17.193999999999999</v>
      </c>
      <c r="Q26" s="66">
        <f t="shared" si="0"/>
        <v>2.6850000000000001</v>
      </c>
      <c r="R26" s="66">
        <f t="shared" si="8"/>
        <v>122.026</v>
      </c>
      <c r="S26" s="23">
        <f t="shared" si="8"/>
        <v>12.172000000000001</v>
      </c>
      <c r="T26" s="23">
        <f t="shared" si="8"/>
        <v>92.272000000000006</v>
      </c>
      <c r="U26" s="23">
        <f t="shared" si="8"/>
        <v>17.581</v>
      </c>
      <c r="V26" s="33">
        <f t="shared" si="9"/>
        <v>0</v>
      </c>
      <c r="W26" s="23"/>
      <c r="X26" s="23"/>
      <c r="Y26" s="66">
        <f t="shared" si="10"/>
        <v>124.771</v>
      </c>
      <c r="Z26" s="23">
        <f t="shared" si="10"/>
        <v>136.94300000000001</v>
      </c>
      <c r="AA26" s="23">
        <f t="shared" si="10"/>
        <v>104.718</v>
      </c>
      <c r="AB26" s="23">
        <f t="shared" si="10"/>
        <v>111.928</v>
      </c>
      <c r="AC26" s="33">
        <f t="shared" si="11"/>
        <v>-228.82</v>
      </c>
    </row>
    <row r="27" spans="1:29" s="3" customFormat="1" ht="15.75">
      <c r="A27" s="22">
        <v>14</v>
      </c>
      <c r="B27" s="21" t="s">
        <v>169</v>
      </c>
      <c r="C27" s="92">
        <f t="shared" si="2"/>
        <v>20.047999999999998</v>
      </c>
      <c r="D27" s="20">
        <f>'[3]Річна потреба ТЕ на опалення'!Q26</f>
        <v>0</v>
      </c>
      <c r="E27" s="20">
        <f>'[3]Річна потреба ТЕ на опалення'!AD53</f>
        <v>20.047999999999998</v>
      </c>
      <c r="F27" s="20">
        <f>'[3]Річна потреба ТЕ на опалення'!S26</f>
        <v>0</v>
      </c>
      <c r="G27" s="23"/>
      <c r="H27" s="207"/>
      <c r="I27" s="66">
        <f t="shared" si="3"/>
        <v>0</v>
      </c>
      <c r="J27" s="23">
        <f t="shared" si="3"/>
        <v>0</v>
      </c>
      <c r="K27" s="23">
        <f t="shared" si="3"/>
        <v>0</v>
      </c>
      <c r="L27" s="23">
        <f t="shared" si="3"/>
        <v>0</v>
      </c>
      <c r="M27" s="66">
        <f t="shared" si="4"/>
        <v>20.047999999999998</v>
      </c>
      <c r="N27" s="23">
        <f t="shared" si="5"/>
        <v>0</v>
      </c>
      <c r="O27" s="23">
        <f t="shared" si="6"/>
        <v>20.047999999999998</v>
      </c>
      <c r="P27" s="23">
        <f t="shared" si="7"/>
        <v>0</v>
      </c>
      <c r="Q27" s="66">
        <f t="shared" si="0"/>
        <v>0.45100000000000001</v>
      </c>
      <c r="R27" s="66">
        <f t="shared" si="8"/>
        <v>20.498999999999999</v>
      </c>
      <c r="S27" s="23">
        <f t="shared" si="8"/>
        <v>0</v>
      </c>
      <c r="T27" s="23">
        <f t="shared" si="8"/>
        <v>20.498999999999999</v>
      </c>
      <c r="U27" s="23">
        <f t="shared" si="8"/>
        <v>0</v>
      </c>
      <c r="V27" s="33">
        <f t="shared" si="9"/>
        <v>0</v>
      </c>
      <c r="W27" s="23"/>
      <c r="X27" s="23"/>
      <c r="Y27" s="66">
        <f t="shared" si="10"/>
        <v>20.96</v>
      </c>
      <c r="Z27" s="23">
        <f t="shared" si="10"/>
        <v>20.96</v>
      </c>
      <c r="AA27" s="23">
        <f t="shared" si="10"/>
        <v>20.498999999999999</v>
      </c>
      <c r="AB27" s="23">
        <f t="shared" si="10"/>
        <v>20.96</v>
      </c>
      <c r="AC27" s="33">
        <f t="shared" si="11"/>
        <v>-41.46</v>
      </c>
    </row>
    <row r="28" spans="1:29" s="3" customFormat="1" ht="15.75">
      <c r="A28" s="22">
        <v>15</v>
      </c>
      <c r="B28" s="21" t="s">
        <v>362</v>
      </c>
      <c r="C28" s="92">
        <f t="shared" si="2"/>
        <v>28.512</v>
      </c>
      <c r="D28" s="20">
        <f>'[3]Річна потреба ТЕ на опалення'!Q27</f>
        <v>0</v>
      </c>
      <c r="E28" s="20">
        <f>'[3]Річна потреба ТЕ на опалення'!AD54</f>
        <v>28.512</v>
      </c>
      <c r="F28" s="20">
        <f>'[3]Річна потреба ТЕ на опалення'!S27</f>
        <v>0</v>
      </c>
      <c r="G28" s="23">
        <v>7.5</v>
      </c>
      <c r="H28" s="207">
        <v>8.0000000000000004E-4</v>
      </c>
      <c r="I28" s="66">
        <f t="shared" si="3"/>
        <v>2.3E-2</v>
      </c>
      <c r="J28" s="23">
        <f t="shared" si="3"/>
        <v>0</v>
      </c>
      <c r="K28" s="23">
        <f t="shared" si="3"/>
        <v>2.3E-2</v>
      </c>
      <c r="L28" s="23">
        <f t="shared" si="3"/>
        <v>0</v>
      </c>
      <c r="M28" s="66">
        <f t="shared" si="4"/>
        <v>28.535</v>
      </c>
      <c r="N28" s="23">
        <f t="shared" si="5"/>
        <v>0</v>
      </c>
      <c r="O28" s="23">
        <f t="shared" si="6"/>
        <v>28.535</v>
      </c>
      <c r="P28" s="23">
        <f t="shared" si="7"/>
        <v>0</v>
      </c>
      <c r="Q28" s="66">
        <f t="shared" si="0"/>
        <v>0.64200000000000002</v>
      </c>
      <c r="R28" s="66">
        <f t="shared" si="8"/>
        <v>29.177</v>
      </c>
      <c r="S28" s="23">
        <f t="shared" si="8"/>
        <v>0</v>
      </c>
      <c r="T28" s="23">
        <f t="shared" si="8"/>
        <v>29.177</v>
      </c>
      <c r="U28" s="23">
        <f t="shared" si="8"/>
        <v>0</v>
      </c>
      <c r="V28" s="33">
        <f t="shared" si="9"/>
        <v>0</v>
      </c>
      <c r="W28" s="23"/>
      <c r="X28" s="23"/>
      <c r="Y28" s="66">
        <f t="shared" si="10"/>
        <v>29.832999999999998</v>
      </c>
      <c r="Z28" s="23">
        <f t="shared" si="10"/>
        <v>29.832999999999998</v>
      </c>
      <c r="AA28" s="23">
        <f t="shared" si="10"/>
        <v>29.177</v>
      </c>
      <c r="AB28" s="23">
        <f t="shared" si="10"/>
        <v>29.832999999999998</v>
      </c>
      <c r="AC28" s="33">
        <f t="shared" si="11"/>
        <v>-59.01</v>
      </c>
    </row>
    <row r="29" spans="1:29" s="3" customFormat="1" ht="15.75">
      <c r="A29" s="22">
        <v>16</v>
      </c>
      <c r="B29" s="21" t="s">
        <v>226</v>
      </c>
      <c r="C29" s="92">
        <f>D29+E29+F29</f>
        <v>19.157</v>
      </c>
      <c r="D29" s="20">
        <f>'[3]Річна потреба ТЕ на опалення'!T55</f>
        <v>0</v>
      </c>
      <c r="E29" s="20">
        <f>'[3]Річна потреба ТЕ на опалення'!AD55+'[3]Річна потреба ТЕ на опалення'!AD56</f>
        <v>19.157</v>
      </c>
      <c r="F29" s="20">
        <f>'[3]Річна потреба ТЕ на опалення'!S28</f>
        <v>0</v>
      </c>
      <c r="G29" s="23"/>
      <c r="H29" s="207"/>
      <c r="I29" s="66">
        <f t="shared" si="3"/>
        <v>0</v>
      </c>
      <c r="J29" s="23">
        <f t="shared" si="3"/>
        <v>0</v>
      </c>
      <c r="K29" s="23">
        <f t="shared" si="3"/>
        <v>0</v>
      </c>
      <c r="L29" s="23">
        <f t="shared" si="3"/>
        <v>0</v>
      </c>
      <c r="M29" s="66">
        <f t="shared" si="4"/>
        <v>19.157</v>
      </c>
      <c r="N29" s="23">
        <f t="shared" si="5"/>
        <v>0</v>
      </c>
      <c r="O29" s="23">
        <f t="shared" si="6"/>
        <v>19.157</v>
      </c>
      <c r="P29" s="23">
        <f t="shared" si="7"/>
        <v>0</v>
      </c>
      <c r="Q29" s="66">
        <f t="shared" si="0"/>
        <v>0.43099999999999999</v>
      </c>
      <c r="R29" s="66">
        <f t="shared" si="8"/>
        <v>19.588000000000001</v>
      </c>
      <c r="S29" s="23">
        <f t="shared" si="8"/>
        <v>0</v>
      </c>
      <c r="T29" s="23">
        <f t="shared" si="8"/>
        <v>19.588000000000001</v>
      </c>
      <c r="U29" s="23">
        <f t="shared" si="8"/>
        <v>0</v>
      </c>
      <c r="V29" s="33">
        <f t="shared" si="9"/>
        <v>0</v>
      </c>
      <c r="W29" s="23"/>
      <c r="X29" s="23"/>
      <c r="Y29" s="66">
        <f t="shared" si="10"/>
        <v>20.029</v>
      </c>
      <c r="Z29" s="23">
        <f t="shared" si="10"/>
        <v>20.029</v>
      </c>
      <c r="AA29" s="23">
        <f t="shared" si="10"/>
        <v>19.588000000000001</v>
      </c>
      <c r="AB29" s="23">
        <f t="shared" si="10"/>
        <v>20.029</v>
      </c>
      <c r="AC29" s="33">
        <f t="shared" si="11"/>
        <v>-39.619999999999997</v>
      </c>
    </row>
    <row r="30" spans="1:29" s="3" customFormat="1" ht="15.75">
      <c r="A30" s="22">
        <v>17</v>
      </c>
      <c r="B30" s="21" t="s">
        <v>227</v>
      </c>
      <c r="C30" s="92">
        <f t="shared" si="2"/>
        <v>18.265999999999998</v>
      </c>
      <c r="D30" s="20">
        <f>'[3]Річна потреба ТЕ на опалення'!T56</f>
        <v>0</v>
      </c>
      <c r="E30" s="20">
        <f>'[3]Річна потреба ТЕ на опалення'!AD57</f>
        <v>18.265999999999998</v>
      </c>
      <c r="F30" s="20">
        <f>'[3]Річна потреба ТЕ на опалення'!S29</f>
        <v>0</v>
      </c>
      <c r="G30" s="23"/>
      <c r="H30" s="207"/>
      <c r="I30" s="66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66">
        <f t="shared" si="4"/>
        <v>18.265999999999998</v>
      </c>
      <c r="N30" s="23">
        <f t="shared" si="5"/>
        <v>0</v>
      </c>
      <c r="O30" s="23">
        <f t="shared" si="6"/>
        <v>18.265999999999998</v>
      </c>
      <c r="P30" s="23">
        <f t="shared" si="7"/>
        <v>0</v>
      </c>
      <c r="Q30" s="66">
        <f t="shared" si="0"/>
        <v>0.41099999999999998</v>
      </c>
      <c r="R30" s="66">
        <f t="shared" si="8"/>
        <v>18.677</v>
      </c>
      <c r="S30" s="23">
        <f t="shared" si="8"/>
        <v>0</v>
      </c>
      <c r="T30" s="23">
        <f t="shared" si="8"/>
        <v>18.677</v>
      </c>
      <c r="U30" s="23">
        <f t="shared" si="8"/>
        <v>0</v>
      </c>
      <c r="V30" s="33">
        <f t="shared" si="9"/>
        <v>0</v>
      </c>
      <c r="W30" s="23"/>
      <c r="X30" s="23"/>
      <c r="Y30" s="66">
        <f t="shared" si="10"/>
        <v>19.097000000000001</v>
      </c>
      <c r="Z30" s="23">
        <f t="shared" si="10"/>
        <v>19.097000000000001</v>
      </c>
      <c r="AA30" s="23">
        <f t="shared" si="10"/>
        <v>18.677</v>
      </c>
      <c r="AB30" s="23">
        <f t="shared" si="10"/>
        <v>19.097000000000001</v>
      </c>
      <c r="AC30" s="33">
        <f t="shared" si="11"/>
        <v>-37.770000000000003</v>
      </c>
    </row>
    <row r="31" spans="1:29" s="3" customFormat="1" ht="15.75">
      <c r="A31" s="22">
        <v>18</v>
      </c>
      <c r="B31" s="21" t="s">
        <v>363</v>
      </c>
      <c r="C31" s="92">
        <f t="shared" si="2"/>
        <v>5.702</v>
      </c>
      <c r="D31" s="20">
        <f>'[3]Річна потреба ТЕ на опалення'!T57</f>
        <v>0</v>
      </c>
      <c r="E31" s="20">
        <f>'[3]Річна потреба ТЕ на опалення'!AD58+'[3]Річна потреба ТЕ на опалення'!AD59</f>
        <v>5.702</v>
      </c>
      <c r="F31" s="20">
        <f>'[3]Річна потреба ТЕ на опалення'!S30</f>
        <v>0</v>
      </c>
      <c r="G31" s="23"/>
      <c r="H31" s="207"/>
      <c r="I31" s="66">
        <f t="shared" si="3"/>
        <v>0</v>
      </c>
      <c r="J31" s="23">
        <f t="shared" si="3"/>
        <v>0</v>
      </c>
      <c r="K31" s="23">
        <f t="shared" si="3"/>
        <v>0</v>
      </c>
      <c r="L31" s="23">
        <f t="shared" si="3"/>
        <v>0</v>
      </c>
      <c r="M31" s="66">
        <f t="shared" si="4"/>
        <v>5.702</v>
      </c>
      <c r="N31" s="23">
        <f t="shared" si="5"/>
        <v>0</v>
      </c>
      <c r="O31" s="23">
        <f t="shared" si="6"/>
        <v>5.702</v>
      </c>
      <c r="P31" s="23">
        <f t="shared" si="7"/>
        <v>0</v>
      </c>
      <c r="Q31" s="66">
        <f t="shared" si="0"/>
        <v>0.128</v>
      </c>
      <c r="R31" s="66">
        <f t="shared" si="8"/>
        <v>5.83</v>
      </c>
      <c r="S31" s="23">
        <f t="shared" si="8"/>
        <v>0</v>
      </c>
      <c r="T31" s="23">
        <f t="shared" si="8"/>
        <v>5.83</v>
      </c>
      <c r="U31" s="23">
        <f t="shared" si="8"/>
        <v>0</v>
      </c>
      <c r="V31" s="33">
        <f t="shared" si="9"/>
        <v>0</v>
      </c>
      <c r="W31" s="23"/>
      <c r="X31" s="23"/>
      <c r="Y31" s="66">
        <f t="shared" si="10"/>
        <v>5.9610000000000003</v>
      </c>
      <c r="Z31" s="23">
        <f t="shared" si="10"/>
        <v>5.9610000000000003</v>
      </c>
      <c r="AA31" s="23">
        <f t="shared" si="10"/>
        <v>5.83</v>
      </c>
      <c r="AB31" s="23">
        <f t="shared" si="10"/>
        <v>5.9610000000000003</v>
      </c>
      <c r="AC31" s="33">
        <f t="shared" si="11"/>
        <v>-11.79</v>
      </c>
    </row>
    <row r="32" spans="1:29" s="3" customFormat="1" ht="15.75">
      <c r="A32" s="22">
        <v>19</v>
      </c>
      <c r="B32" s="21" t="s">
        <v>228</v>
      </c>
      <c r="C32" s="92">
        <f t="shared" si="2"/>
        <v>46.225000000000001</v>
      </c>
      <c r="D32" s="20">
        <f>'[3]Річна потреба ТЕ на опалення'!T58</f>
        <v>0</v>
      </c>
      <c r="E32" s="20">
        <f>'[3]Річна потреба ТЕ на опалення'!AD60+'[3]Річна потреба ТЕ на опалення'!AD61+'[3]Річна потреба ТЕ на опалення'!AD62</f>
        <v>46.225000000000001</v>
      </c>
      <c r="F32" s="20">
        <f>'[3]Річна потреба ТЕ на опалення'!S31</f>
        <v>0</v>
      </c>
      <c r="G32" s="23"/>
      <c r="H32" s="207"/>
      <c r="I32" s="66">
        <f t="shared" si="3"/>
        <v>0</v>
      </c>
      <c r="J32" s="23">
        <f t="shared" si="3"/>
        <v>0</v>
      </c>
      <c r="K32" s="23">
        <f t="shared" si="3"/>
        <v>0</v>
      </c>
      <c r="L32" s="23">
        <f t="shared" si="3"/>
        <v>0</v>
      </c>
      <c r="M32" s="66">
        <f t="shared" si="4"/>
        <v>46.225000000000001</v>
      </c>
      <c r="N32" s="23">
        <f t="shared" si="5"/>
        <v>0</v>
      </c>
      <c r="O32" s="23">
        <f t="shared" si="6"/>
        <v>46.225000000000001</v>
      </c>
      <c r="P32" s="23">
        <f t="shared" si="7"/>
        <v>0</v>
      </c>
      <c r="Q32" s="66">
        <f t="shared" si="0"/>
        <v>1.04</v>
      </c>
      <c r="R32" s="66">
        <f t="shared" si="8"/>
        <v>47.265000000000001</v>
      </c>
      <c r="S32" s="23">
        <f t="shared" si="8"/>
        <v>0</v>
      </c>
      <c r="T32" s="23">
        <f t="shared" si="8"/>
        <v>47.265000000000001</v>
      </c>
      <c r="U32" s="23">
        <f t="shared" si="8"/>
        <v>0</v>
      </c>
      <c r="V32" s="33">
        <f t="shared" si="9"/>
        <v>0</v>
      </c>
      <c r="W32" s="23"/>
      <c r="X32" s="23"/>
      <c r="Y32" s="66">
        <f t="shared" si="10"/>
        <v>48.328000000000003</v>
      </c>
      <c r="Z32" s="23">
        <f t="shared" si="10"/>
        <v>48.328000000000003</v>
      </c>
      <c r="AA32" s="23">
        <f t="shared" si="10"/>
        <v>47.265000000000001</v>
      </c>
      <c r="AB32" s="23">
        <f t="shared" si="10"/>
        <v>48.328000000000003</v>
      </c>
      <c r="AC32" s="33">
        <f t="shared" si="11"/>
        <v>-95.59</v>
      </c>
    </row>
    <row r="33" spans="1:29" s="3" customFormat="1" ht="16.5" thickBot="1">
      <c r="A33" s="25">
        <v>20</v>
      </c>
      <c r="B33" s="21" t="s">
        <v>229</v>
      </c>
      <c r="C33" s="92">
        <f t="shared" si="2"/>
        <v>18.460999999999999</v>
      </c>
      <c r="D33" s="20">
        <f>'[3]Річна потреба ТЕ на опалення'!T59</f>
        <v>0</v>
      </c>
      <c r="E33" s="20">
        <f>'[3]Річна потреба ТЕ на опалення'!AD63+'[3]Річна потреба ТЕ на опалення'!AD64</f>
        <v>18.460999999999999</v>
      </c>
      <c r="F33" s="20">
        <f>'[3]Річна потреба ТЕ на опалення'!S32</f>
        <v>0</v>
      </c>
      <c r="G33" s="23">
        <v>21</v>
      </c>
      <c r="H33" s="207">
        <v>2.0999999999999999E-3</v>
      </c>
      <c r="I33" s="66">
        <f t="shared" si="3"/>
        <v>3.9E-2</v>
      </c>
      <c r="J33" s="23">
        <f t="shared" si="3"/>
        <v>0</v>
      </c>
      <c r="K33" s="23">
        <f t="shared" si="3"/>
        <v>3.9E-2</v>
      </c>
      <c r="L33" s="23">
        <f t="shared" si="3"/>
        <v>0</v>
      </c>
      <c r="M33" s="66">
        <f t="shared" si="4"/>
        <v>18.5</v>
      </c>
      <c r="N33" s="23">
        <f t="shared" si="5"/>
        <v>0</v>
      </c>
      <c r="O33" s="23">
        <f t="shared" si="6"/>
        <v>18.5</v>
      </c>
      <c r="P33" s="23">
        <f t="shared" si="7"/>
        <v>0</v>
      </c>
      <c r="Q33" s="66">
        <f t="shared" si="0"/>
        <v>0.41599999999999998</v>
      </c>
      <c r="R33" s="66">
        <f t="shared" si="8"/>
        <v>18.916</v>
      </c>
      <c r="S33" s="23">
        <f t="shared" si="8"/>
        <v>0</v>
      </c>
      <c r="T33" s="23">
        <f t="shared" si="8"/>
        <v>18.916</v>
      </c>
      <c r="U33" s="23">
        <f t="shared" si="8"/>
        <v>0</v>
      </c>
      <c r="V33" s="33">
        <f t="shared" si="9"/>
        <v>0</v>
      </c>
      <c r="W33" s="30"/>
      <c r="X33" s="30"/>
      <c r="Y33" s="99">
        <f t="shared" si="10"/>
        <v>19.341999999999999</v>
      </c>
      <c r="Z33" s="30">
        <f t="shared" si="10"/>
        <v>19.341999999999999</v>
      </c>
      <c r="AA33" s="30">
        <f t="shared" si="10"/>
        <v>18.916</v>
      </c>
      <c r="AB33" s="30">
        <f t="shared" si="10"/>
        <v>19.341999999999999</v>
      </c>
      <c r="AC33" s="33">
        <f t="shared" si="11"/>
        <v>-38.26</v>
      </c>
    </row>
    <row r="34" spans="1:29" s="3" customFormat="1" ht="17.25" customHeight="1" thickBot="1">
      <c r="A34" s="26">
        <v>21</v>
      </c>
      <c r="B34" s="27" t="s">
        <v>230</v>
      </c>
      <c r="C34" s="92">
        <f t="shared" si="2"/>
        <v>4.0359999999999996</v>
      </c>
      <c r="D34" s="20">
        <f>'[3]Річна потреба ТЕ на опалення'!T60</f>
        <v>0</v>
      </c>
      <c r="E34" s="20">
        <f>'[3]Річна потреба ТЕ на опалення'!AD65</f>
        <v>4.0359999999999996</v>
      </c>
      <c r="F34" s="20">
        <f>'[3]Річна потреба ТЕ на опалення'!S33</f>
        <v>0</v>
      </c>
      <c r="G34" s="30">
        <v>38.5</v>
      </c>
      <c r="H34" s="31">
        <v>3.8999999999999998E-3</v>
      </c>
      <c r="I34" s="99">
        <f t="shared" si="3"/>
        <v>1.6E-2</v>
      </c>
      <c r="J34" s="30">
        <f t="shared" si="3"/>
        <v>0</v>
      </c>
      <c r="K34" s="30">
        <f t="shared" si="3"/>
        <v>1.6E-2</v>
      </c>
      <c r="L34" s="30">
        <f t="shared" si="3"/>
        <v>0</v>
      </c>
      <c r="M34" s="99">
        <f t="shared" si="4"/>
        <v>4.0519999999999996</v>
      </c>
      <c r="N34" s="30">
        <f t="shared" si="5"/>
        <v>0</v>
      </c>
      <c r="O34" s="30">
        <f t="shared" si="6"/>
        <v>4.0519999999999996</v>
      </c>
      <c r="P34" s="30">
        <f t="shared" si="7"/>
        <v>0</v>
      </c>
      <c r="Q34" s="66">
        <f t="shared" si="0"/>
        <v>9.0999999999999998E-2</v>
      </c>
      <c r="R34" s="66">
        <f t="shared" si="8"/>
        <v>4.1429999999999998</v>
      </c>
      <c r="S34" s="23">
        <f t="shared" si="8"/>
        <v>0</v>
      </c>
      <c r="T34" s="23">
        <f t="shared" si="8"/>
        <v>4.1429999999999998</v>
      </c>
      <c r="U34" s="23">
        <f t="shared" si="8"/>
        <v>0</v>
      </c>
      <c r="V34" s="33">
        <f t="shared" si="9"/>
        <v>0</v>
      </c>
      <c r="W34" s="7"/>
      <c r="X34" s="7"/>
      <c r="Y34" s="7">
        <f>SUM(Y14:Y33)</f>
        <v>520.66399999999999</v>
      </c>
      <c r="Z34" s="7">
        <f>SUM(Z14:Z33)</f>
        <v>543.77800000000002</v>
      </c>
      <c r="AA34" s="7">
        <f>SUM(AA14:AA33)</f>
        <v>488.95299999999997</v>
      </c>
      <c r="AB34" s="7">
        <f>SUM(AB14:AB33)</f>
        <v>496.56</v>
      </c>
      <c r="AC34" s="33">
        <f t="shared" si="11"/>
        <v>-1008.63</v>
      </c>
    </row>
    <row r="35" spans="1:29" s="3" customFormat="1" ht="16.5" thickBot="1">
      <c r="A35" s="4"/>
      <c r="B35" s="4" t="s">
        <v>161</v>
      </c>
      <c r="C35" s="7">
        <f>SUM(C14:C34)</f>
        <v>484.154</v>
      </c>
      <c r="D35" s="7">
        <f>SUM(D14:D34)</f>
        <v>20.939</v>
      </c>
      <c r="E35" s="7">
        <f>SUM(E14:E34)</f>
        <v>444.13799999999998</v>
      </c>
      <c r="F35" s="7">
        <f>SUM(F14:F34)</f>
        <v>19.077000000000002</v>
      </c>
      <c r="G35" s="7">
        <f>SUM(G14:G34)</f>
        <v>3369.5</v>
      </c>
      <c r="H35" s="9">
        <f>I35/M35</f>
        <v>3.5700000000000003E-2</v>
      </c>
      <c r="I35" s="7">
        <f t="shared" ref="I35:Q35" si="12">SUM(I14:I34)</f>
        <v>17.905000000000001</v>
      </c>
      <c r="J35" s="7">
        <f t="shared" si="12"/>
        <v>1.667</v>
      </c>
      <c r="K35" s="7">
        <f t="shared" si="12"/>
        <v>14.994999999999999</v>
      </c>
      <c r="L35" s="7">
        <f t="shared" si="12"/>
        <v>1.242</v>
      </c>
      <c r="M35" s="7">
        <f t="shared" si="12"/>
        <v>502.05900000000003</v>
      </c>
      <c r="N35" s="7">
        <f t="shared" si="12"/>
        <v>22.606000000000002</v>
      </c>
      <c r="O35" s="7">
        <f t="shared" si="12"/>
        <v>459.13299999999998</v>
      </c>
      <c r="P35" s="7">
        <f t="shared" si="12"/>
        <v>20.318999999999999</v>
      </c>
      <c r="Q35" s="7">
        <f t="shared" si="12"/>
        <v>11.292999999999999</v>
      </c>
      <c r="R35" s="7">
        <f>SUM(R14:R34)</f>
        <v>513.35199999999998</v>
      </c>
      <c r="S35" s="7">
        <f>SUM(S14:S34)</f>
        <v>23.114999999999998</v>
      </c>
      <c r="T35" s="7">
        <f>SUM(T14:T34)</f>
        <v>469.46100000000001</v>
      </c>
      <c r="U35" s="7">
        <f>SUM(U14:U34)</f>
        <v>20.776</v>
      </c>
      <c r="V35" s="33">
        <f t="shared" si="9"/>
        <v>0</v>
      </c>
      <c r="Y35" s="1"/>
    </row>
    <row r="36" spans="1:29" s="3" customFormat="1" ht="15.75">
      <c r="C36" s="1"/>
      <c r="I36" s="1"/>
      <c r="J36" s="1"/>
      <c r="K36" s="1"/>
      <c r="L36" s="1"/>
      <c r="M36" s="1"/>
      <c r="Q36" s="1"/>
      <c r="R36" s="1"/>
      <c r="Y36" s="1"/>
    </row>
    <row r="37" spans="1:29" s="3" customFormat="1" ht="15.75">
      <c r="C37" s="1"/>
      <c r="D37" s="57"/>
      <c r="E37" s="57"/>
      <c r="F37" s="57"/>
      <c r="I37" s="1"/>
      <c r="J37" s="1"/>
      <c r="K37" s="1"/>
      <c r="L37" s="1"/>
      <c r="M37" s="1"/>
      <c r="Q37" s="1"/>
      <c r="R37" s="1"/>
      <c r="W37" s="34"/>
      <c r="X37" s="34"/>
      <c r="Y37" s="210">
        <f>Y34-Y17-Y21-Y22</f>
        <v>507.23399999999998</v>
      </c>
    </row>
    <row r="38" spans="1:29" s="3" customFormat="1" ht="15.75">
      <c r="C38" s="1"/>
      <c r="I38" s="1"/>
      <c r="J38" s="1"/>
      <c r="K38" s="1"/>
      <c r="L38" s="1"/>
      <c r="M38" s="1"/>
      <c r="Q38" s="383">
        <f>R35-R17-R22-R23</f>
        <v>507.16800000000001</v>
      </c>
      <c r="R38" s="210"/>
      <c r="Y38" s="1"/>
    </row>
    <row r="39" spans="1:29" s="3" customFormat="1" ht="15.75">
      <c r="C39" s="1"/>
      <c r="H39" s="56"/>
      <c r="I39" s="1"/>
      <c r="J39" s="1"/>
      <c r="K39" s="1"/>
      <c r="L39" s="1"/>
      <c r="M39" s="1"/>
      <c r="Q39" s="1"/>
      <c r="R39" s="1"/>
      <c r="Y39" s="210">
        <f>Y34-Y21-Y22</f>
        <v>510.50099999999998</v>
      </c>
      <c r="Z39" s="3" t="s">
        <v>379</v>
      </c>
    </row>
    <row r="40" spans="1:29" ht="15.75">
      <c r="A40" s="3"/>
      <c r="B40" s="3"/>
      <c r="C40" s="1"/>
      <c r="D40" s="3"/>
      <c r="E40" s="3"/>
      <c r="F40" s="3"/>
      <c r="G40" s="3"/>
      <c r="H40" s="56"/>
      <c r="I40" s="1"/>
      <c r="J40" s="1"/>
      <c r="K40" s="1"/>
      <c r="L40" s="1"/>
      <c r="M40" s="1"/>
      <c r="N40" s="3"/>
      <c r="O40" s="3"/>
      <c r="P40" s="3"/>
      <c r="Q40" s="210">
        <f>R35-R22-R23</f>
        <v>510.363</v>
      </c>
      <c r="R40" s="1"/>
      <c r="S40" s="3"/>
      <c r="T40" s="3"/>
      <c r="U40" s="3"/>
      <c r="V40" s="3"/>
    </row>
    <row r="41" spans="1:29" ht="15.75">
      <c r="B41" s="12" t="s">
        <v>95</v>
      </c>
      <c r="R41" s="210"/>
      <c r="U41" s="181"/>
    </row>
    <row r="42" spans="1:29">
      <c r="R42" s="2"/>
      <c r="U42" s="181"/>
    </row>
    <row r="43" spans="1:29">
      <c r="R43" s="2"/>
      <c r="U43" s="181"/>
    </row>
    <row r="44" spans="1:29">
      <c r="R44" s="2"/>
      <c r="U44" s="181"/>
    </row>
    <row r="45" spans="1:29" ht="15">
      <c r="H45" s="384">
        <f>J35/N35</f>
        <v>7.3700000000000002E-2</v>
      </c>
      <c r="R45" s="2"/>
      <c r="U45" s="181"/>
    </row>
    <row r="46" spans="1:29" ht="15">
      <c r="H46" s="384">
        <f>K35/O35</f>
        <v>3.27E-2</v>
      </c>
      <c r="R46" s="2"/>
      <c r="U46" s="181"/>
    </row>
    <row r="47" spans="1:29" ht="15">
      <c r="H47" s="384">
        <f>L35/P35</f>
        <v>6.1100000000000002E-2</v>
      </c>
      <c r="R47" s="2"/>
      <c r="U47" s="181"/>
    </row>
    <row r="48" spans="1:29">
      <c r="R48" s="2"/>
      <c r="U48" s="181"/>
    </row>
  </sheetData>
  <mergeCells count="30">
    <mergeCell ref="Y7:Y12"/>
    <mergeCell ref="Z7:Z12"/>
    <mergeCell ref="AA7:AA12"/>
    <mergeCell ref="AB7:AB12"/>
    <mergeCell ref="T7:T12"/>
    <mergeCell ref="U7:U12"/>
    <mergeCell ref="W7:W12"/>
    <mergeCell ref="X7:X12"/>
    <mergeCell ref="C2:S2"/>
    <mergeCell ref="C3:S3"/>
    <mergeCell ref="G5:M5"/>
    <mergeCell ref="G7:G12"/>
    <mergeCell ref="P7:P12"/>
    <mergeCell ref="Q7:Q12"/>
    <mergeCell ref="R7:R12"/>
    <mergeCell ref="S7:S12"/>
    <mergeCell ref="L7:L12"/>
    <mergeCell ref="M7:M12"/>
    <mergeCell ref="N7:N12"/>
    <mergeCell ref="O7:O12"/>
    <mergeCell ref="F7:F12"/>
    <mergeCell ref="H7:H12"/>
    <mergeCell ref="I7:I12"/>
    <mergeCell ref="J7:J12"/>
    <mergeCell ref="K7:K12"/>
    <mergeCell ref="A7:A12"/>
    <mergeCell ref="B7:B12"/>
    <mergeCell ref="C7:C12"/>
    <mergeCell ref="D7:D12"/>
    <mergeCell ref="E7:E12"/>
  </mergeCells>
  <phoneticPr fontId="2" type="noConversion"/>
  <pageMargins left="0.75" right="0.75" top="1" bottom="1" header="0.5" footer="0.5"/>
  <pageSetup paperSize="9" scale="44" orientation="landscape" verticalDpi="0" r:id="rId1"/>
  <headerFooter alignWithMargins="0"/>
  <colBreaks count="1" manualBreakCount="1">
    <brk id="2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10"/>
  </sheetPr>
  <dimension ref="A2:Y48"/>
  <sheetViews>
    <sheetView view="pageBreakPreview" zoomScale="60" zoomScaleNormal="75" workbookViewId="0">
      <selection sqref="A1:IV65536"/>
    </sheetView>
  </sheetViews>
  <sheetFormatPr defaultRowHeight="12.75"/>
  <cols>
    <col min="1" max="1" width="4.42578125" style="181" customWidth="1"/>
    <col min="2" max="2" width="41.140625" style="181" customWidth="1"/>
    <col min="3" max="3" width="12.85546875" style="2" customWidth="1"/>
    <col min="4" max="4" width="12.140625" style="181" customWidth="1"/>
    <col min="5" max="5" width="11" style="181" customWidth="1"/>
    <col min="6" max="6" width="11.5703125" style="181" customWidth="1"/>
    <col min="7" max="7" width="15.42578125" style="181" customWidth="1"/>
    <col min="8" max="8" width="11.140625" style="186" customWidth="1"/>
    <col min="9" max="9" width="10.140625" style="2" customWidth="1"/>
    <col min="10" max="12" width="12.85546875" style="2" customWidth="1"/>
    <col min="13" max="13" width="15.5703125" style="2" customWidth="1"/>
    <col min="14" max="14" width="12.140625" style="181" customWidth="1"/>
    <col min="15" max="15" width="13.140625" style="181" customWidth="1"/>
    <col min="16" max="16" width="11.5703125" style="181" customWidth="1"/>
    <col min="17" max="17" width="19.42578125" style="2" customWidth="1"/>
    <col min="18" max="18" width="11.5703125" style="181" customWidth="1"/>
    <col min="19" max="19" width="11.28515625" style="181" customWidth="1"/>
    <col min="20" max="20" width="12.140625" style="181" customWidth="1"/>
    <col min="21" max="21" width="19.5703125" style="2" customWidth="1"/>
    <col min="22" max="22" width="12.42578125" style="181" hidden="1" customWidth="1"/>
    <col min="23" max="23" width="11.42578125" style="181" hidden="1" customWidth="1"/>
    <col min="24" max="24" width="11.7109375" style="181" hidden="1" customWidth="1"/>
    <col min="25" max="25" width="10.7109375" style="181" customWidth="1"/>
    <col min="26" max="16384" width="9.140625" style="181"/>
  </cols>
  <sheetData>
    <row r="2" spans="1:25" ht="18">
      <c r="C2" s="528" t="s">
        <v>311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1:25" ht="18">
      <c r="C3" s="528" t="s">
        <v>97</v>
      </c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</row>
    <row r="4" spans="1:25" ht="21" customHeight="1">
      <c r="J4" s="3" t="s">
        <v>312</v>
      </c>
      <c r="K4" s="65"/>
      <c r="L4" s="65"/>
      <c r="M4" s="64"/>
      <c r="N4" s="62">
        <f>'[3]Вхідні дані'!E31</f>
        <v>30</v>
      </c>
      <c r="O4" s="3" t="s">
        <v>313</v>
      </c>
    </row>
    <row r="5" spans="1:25" ht="15.75">
      <c r="A5" s="54"/>
      <c r="B5" s="54"/>
      <c r="C5" s="54"/>
      <c r="D5" s="54"/>
      <c r="E5" s="54"/>
      <c r="F5" s="54"/>
      <c r="G5" s="547" t="s">
        <v>314</v>
      </c>
      <c r="H5" s="547"/>
      <c r="I5" s="547"/>
      <c r="J5" s="547"/>
      <c r="K5" s="547"/>
      <c r="L5" s="547"/>
      <c r="M5" s="547"/>
      <c r="N5" s="62">
        <v>24</v>
      </c>
      <c r="O5" s="63" t="s">
        <v>313</v>
      </c>
      <c r="P5" s="54"/>
      <c r="Q5" s="54"/>
      <c r="R5" s="54"/>
      <c r="S5" s="54"/>
      <c r="T5" s="54"/>
      <c r="U5" s="54"/>
      <c r="V5" s="54"/>
      <c r="W5" s="54"/>
      <c r="X5" s="54"/>
    </row>
    <row r="6" spans="1:25" ht="13.5" thickBot="1"/>
    <row r="7" spans="1:25" s="3" customFormat="1" ht="15" customHeight="1">
      <c r="A7" s="508" t="s">
        <v>179</v>
      </c>
      <c r="B7" s="508" t="s">
        <v>235</v>
      </c>
      <c r="C7" s="508" t="s">
        <v>307</v>
      </c>
      <c r="D7" s="548" t="s">
        <v>284</v>
      </c>
      <c r="E7" s="548" t="s">
        <v>285</v>
      </c>
      <c r="F7" s="548" t="s">
        <v>286</v>
      </c>
      <c r="G7" s="551" t="s">
        <v>315</v>
      </c>
      <c r="H7" s="558" t="s">
        <v>316</v>
      </c>
      <c r="I7" s="556" t="s">
        <v>304</v>
      </c>
      <c r="J7" s="554" t="s">
        <v>284</v>
      </c>
      <c r="K7" s="554" t="s">
        <v>285</v>
      </c>
      <c r="L7" s="554" t="s">
        <v>286</v>
      </c>
      <c r="M7" s="556" t="s">
        <v>310</v>
      </c>
      <c r="N7" s="554" t="s">
        <v>284</v>
      </c>
      <c r="O7" s="554" t="s">
        <v>285</v>
      </c>
      <c r="P7" s="554" t="s">
        <v>286</v>
      </c>
      <c r="Q7" s="556" t="s">
        <v>305</v>
      </c>
      <c r="R7" s="556" t="s">
        <v>306</v>
      </c>
      <c r="S7" s="554" t="s">
        <v>284</v>
      </c>
      <c r="T7" s="554" t="s">
        <v>285</v>
      </c>
      <c r="U7" s="554" t="s">
        <v>286</v>
      </c>
      <c r="W7" s="554" t="s">
        <v>285</v>
      </c>
      <c r="X7" s="554" t="s">
        <v>286</v>
      </c>
    </row>
    <row r="8" spans="1:25" s="3" customFormat="1" ht="13.5" customHeight="1">
      <c r="A8" s="509"/>
      <c r="B8" s="509"/>
      <c r="C8" s="509"/>
      <c r="D8" s="549"/>
      <c r="E8" s="549"/>
      <c r="F8" s="549"/>
      <c r="G8" s="552"/>
      <c r="H8" s="559"/>
      <c r="I8" s="557"/>
      <c r="J8" s="555"/>
      <c r="K8" s="555"/>
      <c r="L8" s="555"/>
      <c r="M8" s="557"/>
      <c r="N8" s="555"/>
      <c r="O8" s="555"/>
      <c r="P8" s="555"/>
      <c r="Q8" s="557"/>
      <c r="R8" s="557"/>
      <c r="S8" s="555"/>
      <c r="T8" s="555"/>
      <c r="U8" s="555"/>
      <c r="W8" s="555"/>
      <c r="X8" s="555"/>
    </row>
    <row r="9" spans="1:25" s="3" customFormat="1" ht="15" customHeight="1">
      <c r="A9" s="509"/>
      <c r="B9" s="509"/>
      <c r="C9" s="509"/>
      <c r="D9" s="549"/>
      <c r="E9" s="549"/>
      <c r="F9" s="549"/>
      <c r="G9" s="552"/>
      <c r="H9" s="559"/>
      <c r="I9" s="557"/>
      <c r="J9" s="555"/>
      <c r="K9" s="555"/>
      <c r="L9" s="555"/>
      <c r="M9" s="557"/>
      <c r="N9" s="555"/>
      <c r="O9" s="555"/>
      <c r="P9" s="555"/>
      <c r="Q9" s="557"/>
      <c r="R9" s="557"/>
      <c r="S9" s="555"/>
      <c r="T9" s="555"/>
      <c r="U9" s="555"/>
      <c r="W9" s="555"/>
      <c r="X9" s="555"/>
    </row>
    <row r="10" spans="1:25" s="3" customFormat="1" ht="15" customHeight="1">
      <c r="A10" s="509"/>
      <c r="B10" s="509"/>
      <c r="C10" s="509"/>
      <c r="D10" s="549"/>
      <c r="E10" s="549"/>
      <c r="F10" s="549"/>
      <c r="G10" s="552"/>
      <c r="H10" s="559"/>
      <c r="I10" s="557"/>
      <c r="J10" s="555"/>
      <c r="K10" s="555"/>
      <c r="L10" s="555"/>
      <c r="M10" s="557"/>
      <c r="N10" s="555"/>
      <c r="O10" s="555"/>
      <c r="P10" s="555"/>
      <c r="Q10" s="557"/>
      <c r="R10" s="557"/>
      <c r="S10" s="555"/>
      <c r="T10" s="555"/>
      <c r="U10" s="555"/>
      <c r="W10" s="555"/>
      <c r="X10" s="555"/>
    </row>
    <row r="11" spans="1:25" s="3" customFormat="1" ht="12.75" customHeight="1">
      <c r="A11" s="509"/>
      <c r="B11" s="509"/>
      <c r="C11" s="509"/>
      <c r="D11" s="549"/>
      <c r="E11" s="549"/>
      <c r="F11" s="549"/>
      <c r="G11" s="552"/>
      <c r="H11" s="559"/>
      <c r="I11" s="557"/>
      <c r="J11" s="555"/>
      <c r="K11" s="555"/>
      <c r="L11" s="555"/>
      <c r="M11" s="557"/>
      <c r="N11" s="555"/>
      <c r="O11" s="555"/>
      <c r="P11" s="555"/>
      <c r="Q11" s="557"/>
      <c r="R11" s="557"/>
      <c r="S11" s="555"/>
      <c r="T11" s="555"/>
      <c r="U11" s="555"/>
      <c r="W11" s="555"/>
      <c r="X11" s="555"/>
    </row>
    <row r="12" spans="1:25" s="3" customFormat="1" ht="15.75" customHeight="1" thickBot="1">
      <c r="A12" s="510"/>
      <c r="B12" s="510"/>
      <c r="C12" s="510"/>
      <c r="D12" s="550"/>
      <c r="E12" s="550"/>
      <c r="F12" s="550"/>
      <c r="G12" s="553"/>
      <c r="H12" s="559"/>
      <c r="I12" s="557"/>
      <c r="J12" s="555"/>
      <c r="K12" s="555"/>
      <c r="L12" s="555"/>
      <c r="M12" s="557"/>
      <c r="N12" s="555"/>
      <c r="O12" s="555"/>
      <c r="P12" s="555"/>
      <c r="Q12" s="557"/>
      <c r="R12" s="557"/>
      <c r="S12" s="555"/>
      <c r="T12" s="555"/>
      <c r="U12" s="555"/>
      <c r="W12" s="555"/>
      <c r="X12" s="555"/>
    </row>
    <row r="13" spans="1:25" s="3" customFormat="1" ht="16.5" thickBo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21</v>
      </c>
      <c r="R13" s="52">
        <v>25</v>
      </c>
      <c r="S13" s="6">
        <v>26</v>
      </c>
      <c r="T13" s="6">
        <v>27</v>
      </c>
      <c r="U13" s="6">
        <v>28</v>
      </c>
      <c r="W13" s="6">
        <v>23</v>
      </c>
      <c r="X13" s="6">
        <v>24</v>
      </c>
    </row>
    <row r="14" spans="1:25" s="3" customFormat="1" ht="15.75">
      <c r="A14" s="16">
        <v>1</v>
      </c>
      <c r="B14" s="17" t="s">
        <v>216</v>
      </c>
      <c r="C14" s="92">
        <f>D14+E14+F14</f>
        <v>25.09</v>
      </c>
      <c r="D14" s="20">
        <f>'[3]Річна потреба ТЕ на опалення'!Q13</f>
        <v>0</v>
      </c>
      <c r="E14" s="20">
        <f>'[3]Річна потреба ТЕ на опалення'!AG13</f>
        <v>25.09</v>
      </c>
      <c r="F14" s="20">
        <f>'[3]Річна потреба ТЕ на опалення'!S13</f>
        <v>0</v>
      </c>
      <c r="G14" s="20">
        <v>60</v>
      </c>
      <c r="H14" s="23">
        <v>6.0000000000000001E-3</v>
      </c>
      <c r="I14" s="66">
        <f>M14-C14</f>
        <v>0.151</v>
      </c>
      <c r="J14" s="23">
        <f>N14-D14</f>
        <v>0</v>
      </c>
      <c r="K14" s="23">
        <f>O14-E14</f>
        <v>0.151</v>
      </c>
      <c r="L14" s="23">
        <f>P14-F14</f>
        <v>0</v>
      </c>
      <c r="M14" s="66">
        <f>C14/(100%-$H$14)</f>
        <v>25.241</v>
      </c>
      <c r="N14" s="23">
        <f>D14/(100%-H14)</f>
        <v>0</v>
      </c>
      <c r="O14" s="23">
        <f>E14/(100%-H14)</f>
        <v>25.241</v>
      </c>
      <c r="P14" s="23">
        <f>F14/(100%-H14)</f>
        <v>0</v>
      </c>
      <c r="Q14" s="66">
        <f t="shared" ref="Q14:Q34" si="0">R14-M14</f>
        <v>0.56799999999999995</v>
      </c>
      <c r="R14" s="66">
        <f>(C14+I14)/(100%-2.2%)</f>
        <v>25.809000000000001</v>
      </c>
      <c r="S14" s="23">
        <f>(D14+J14)/(100%-2.2%)</f>
        <v>0</v>
      </c>
      <c r="T14" s="23">
        <f>(E14+K14)/(100%-2.2%)</f>
        <v>25.809000000000001</v>
      </c>
      <c r="U14" s="23">
        <f>(F14+L14)/(100%-2.2%)</f>
        <v>0</v>
      </c>
      <c r="V14" s="33">
        <f>R14-S14-T14-U14</f>
        <v>0</v>
      </c>
      <c r="W14" s="23"/>
      <c r="X14" s="23"/>
      <c r="Y14" s="33" t="e">
        <f>#REF!-#REF!-#REF!-#REF!</f>
        <v>#REF!</v>
      </c>
    </row>
    <row r="15" spans="1:25" s="3" customFormat="1" ht="15.75">
      <c r="A15" s="16">
        <v>2</v>
      </c>
      <c r="B15" s="21" t="s">
        <v>189</v>
      </c>
      <c r="C15" s="92">
        <f t="shared" ref="C15:C34" si="1">D15+E15+F15</f>
        <v>16.739999999999998</v>
      </c>
      <c r="D15" s="20">
        <f>'[3]Річна потреба ТЕ на опалення'!Q14</f>
        <v>0</v>
      </c>
      <c r="E15" s="20">
        <f>'[3]Річна потреба ТЕ на опалення'!AG14+'[3]Річна потреба ТЕ на опалення'!AG15</f>
        <v>16.739999999999998</v>
      </c>
      <c r="F15" s="20">
        <f>'[3]Річна потреба ТЕ на опалення'!S14</f>
        <v>0</v>
      </c>
      <c r="G15" s="23"/>
      <c r="H15" s="23"/>
      <c r="I15" s="66">
        <f t="shared" ref="I15:L34" si="2">M15-C15</f>
        <v>0</v>
      </c>
      <c r="J15" s="23">
        <f t="shared" si="2"/>
        <v>0</v>
      </c>
      <c r="K15" s="23">
        <f t="shared" si="2"/>
        <v>0</v>
      </c>
      <c r="L15" s="23">
        <f t="shared" si="2"/>
        <v>0</v>
      </c>
      <c r="M15" s="66">
        <f t="shared" ref="M15:M34" si="3">C15/(100%-H15)</f>
        <v>16.739999999999998</v>
      </c>
      <c r="N15" s="23">
        <f t="shared" ref="N15:N34" si="4">D15/(100%-H15)</f>
        <v>0</v>
      </c>
      <c r="O15" s="23">
        <f t="shared" ref="O15:O34" si="5">E15/(100%-H15)</f>
        <v>16.739999999999998</v>
      </c>
      <c r="P15" s="23">
        <f t="shared" ref="P15:P34" si="6">F15/(100%-H15)</f>
        <v>0</v>
      </c>
      <c r="Q15" s="66">
        <f t="shared" si="0"/>
        <v>0.377</v>
      </c>
      <c r="R15" s="66">
        <f t="shared" ref="R15:U34" si="7">(C15+I15)/(100%-2.2%)</f>
        <v>17.117000000000001</v>
      </c>
      <c r="S15" s="23">
        <f t="shared" si="7"/>
        <v>0</v>
      </c>
      <c r="T15" s="23">
        <f t="shared" si="7"/>
        <v>17.117000000000001</v>
      </c>
      <c r="U15" s="23">
        <f t="shared" si="7"/>
        <v>0</v>
      </c>
      <c r="V15" s="33">
        <f t="shared" ref="V15:V35" si="8">R15-S15-T15-U15</f>
        <v>0</v>
      </c>
      <c r="W15" s="23"/>
      <c r="X15" s="23"/>
      <c r="Y15" s="33" t="e">
        <f>#REF!-#REF!-#REF!-#REF!</f>
        <v>#REF!</v>
      </c>
    </row>
    <row r="16" spans="1:25" s="3" customFormat="1" ht="15.75">
      <c r="A16" s="22">
        <v>3</v>
      </c>
      <c r="B16" s="21" t="s">
        <v>217</v>
      </c>
      <c r="C16" s="92">
        <f t="shared" si="1"/>
        <v>39.96</v>
      </c>
      <c r="D16" s="20">
        <f>'[3]Річна потреба ТЕ на опалення'!Q15</f>
        <v>0</v>
      </c>
      <c r="E16" s="20">
        <f>'[3]Річна потреба ТЕ на опалення'!AG16</f>
        <v>39.96</v>
      </c>
      <c r="F16" s="20">
        <f>'[3]Річна потреба ТЕ на опалення'!S15</f>
        <v>0</v>
      </c>
      <c r="G16" s="93">
        <v>42</v>
      </c>
      <c r="H16" s="93">
        <v>4.0000000000000001E-3</v>
      </c>
      <c r="I16" s="66">
        <f t="shared" si="2"/>
        <v>0.16</v>
      </c>
      <c r="J16" s="23">
        <f t="shared" si="2"/>
        <v>0</v>
      </c>
      <c r="K16" s="23">
        <f t="shared" si="2"/>
        <v>0.16</v>
      </c>
      <c r="L16" s="23">
        <f t="shared" si="2"/>
        <v>0</v>
      </c>
      <c r="M16" s="66">
        <f t="shared" si="3"/>
        <v>40.119999999999997</v>
      </c>
      <c r="N16" s="23">
        <f t="shared" si="4"/>
        <v>0</v>
      </c>
      <c r="O16" s="23">
        <f t="shared" si="5"/>
        <v>40.119999999999997</v>
      </c>
      <c r="P16" s="23">
        <f t="shared" si="6"/>
        <v>0</v>
      </c>
      <c r="Q16" s="66">
        <f t="shared" si="0"/>
        <v>0.90200000000000002</v>
      </c>
      <c r="R16" s="66">
        <f t="shared" si="7"/>
        <v>41.021999999999998</v>
      </c>
      <c r="S16" s="23">
        <f t="shared" si="7"/>
        <v>0</v>
      </c>
      <c r="T16" s="23">
        <f t="shared" si="7"/>
        <v>41.021999999999998</v>
      </c>
      <c r="U16" s="23">
        <f t="shared" si="7"/>
        <v>0</v>
      </c>
      <c r="V16" s="33">
        <f t="shared" si="8"/>
        <v>0</v>
      </c>
      <c r="W16" s="23"/>
      <c r="X16" s="23"/>
      <c r="Y16" s="33" t="e">
        <f>#REF!-#REF!-#REF!-#REF!</f>
        <v>#REF!</v>
      </c>
    </row>
    <row r="17" spans="1:25" s="3" customFormat="1" ht="15.75">
      <c r="A17" s="72">
        <v>4</v>
      </c>
      <c r="B17" s="76" t="s">
        <v>218</v>
      </c>
      <c r="C17" s="94">
        <f t="shared" si="1"/>
        <v>9.4499999999999993</v>
      </c>
      <c r="D17" s="20">
        <f>'[3]Річна потреба ТЕ на опалення'!T17</f>
        <v>0</v>
      </c>
      <c r="E17" s="20">
        <f>'[3]Річна потреба ТЕ на опалення'!U17</f>
        <v>0</v>
      </c>
      <c r="F17" s="20">
        <f>'[3]Річна потреба ТЕ на опалення'!AH17</f>
        <v>9.4499999999999993</v>
      </c>
      <c r="G17" s="96">
        <f>0.02*1000</f>
        <v>20</v>
      </c>
      <c r="H17" s="205">
        <f>G17/100*1%</f>
        <v>2E-3</v>
      </c>
      <c r="I17" s="97">
        <f t="shared" si="2"/>
        <v>1.9E-2</v>
      </c>
      <c r="J17" s="96">
        <f t="shared" si="2"/>
        <v>0</v>
      </c>
      <c r="K17" s="96">
        <f t="shared" si="2"/>
        <v>0</v>
      </c>
      <c r="L17" s="96">
        <f>P17-F17</f>
        <v>1.9E-2</v>
      </c>
      <c r="M17" s="97">
        <f t="shared" si="3"/>
        <v>9.4689999999999994</v>
      </c>
      <c r="N17" s="96">
        <f t="shared" si="4"/>
        <v>0</v>
      </c>
      <c r="O17" s="96">
        <f t="shared" si="5"/>
        <v>0</v>
      </c>
      <c r="P17" s="96">
        <f t="shared" si="6"/>
        <v>9.4689999999999994</v>
      </c>
      <c r="Q17" s="66">
        <f t="shared" si="0"/>
        <v>0.21299999999999999</v>
      </c>
      <c r="R17" s="66">
        <f t="shared" si="7"/>
        <v>9.6820000000000004</v>
      </c>
      <c r="S17" s="23">
        <f t="shared" si="7"/>
        <v>0</v>
      </c>
      <c r="T17" s="23">
        <f t="shared" si="7"/>
        <v>0</v>
      </c>
      <c r="U17" s="23">
        <f t="shared" si="7"/>
        <v>9.6820000000000004</v>
      </c>
      <c r="V17" s="33">
        <f t="shared" si="8"/>
        <v>0</v>
      </c>
      <c r="W17" s="96"/>
      <c r="X17" s="96"/>
      <c r="Y17" s="33" t="e">
        <f>#REF!-#REF!-#REF!-#REF!</f>
        <v>#REF!</v>
      </c>
    </row>
    <row r="18" spans="1:25" s="3" customFormat="1" ht="15.75">
      <c r="A18" s="22">
        <v>5</v>
      </c>
      <c r="B18" s="21" t="s">
        <v>359</v>
      </c>
      <c r="C18" s="92">
        <f t="shared" si="1"/>
        <v>50.22</v>
      </c>
      <c r="D18" s="20">
        <f>'[3]Річна потреба ТЕ на опалення'!Q17</f>
        <v>0</v>
      </c>
      <c r="E18" s="20">
        <f>'[3]Річна потреба ТЕ на опалення'!AG18</f>
        <v>50.22</v>
      </c>
      <c r="F18" s="20">
        <v>0</v>
      </c>
      <c r="G18" s="93">
        <f>0.07*1000</f>
        <v>70</v>
      </c>
      <c r="H18" s="206">
        <f>G18/100*1%</f>
        <v>7.0000000000000001E-3</v>
      </c>
      <c r="I18" s="66">
        <f t="shared" si="2"/>
        <v>0.35399999999999998</v>
      </c>
      <c r="J18" s="23">
        <f t="shared" si="2"/>
        <v>0</v>
      </c>
      <c r="K18" s="23">
        <f t="shared" si="2"/>
        <v>0.35399999999999998</v>
      </c>
      <c r="L18" s="23">
        <f t="shared" si="2"/>
        <v>0</v>
      </c>
      <c r="M18" s="66">
        <f t="shared" si="3"/>
        <v>50.573999999999998</v>
      </c>
      <c r="N18" s="23">
        <f t="shared" si="4"/>
        <v>0</v>
      </c>
      <c r="O18" s="23">
        <f t="shared" si="5"/>
        <v>50.573999999999998</v>
      </c>
      <c r="P18" s="23">
        <f t="shared" si="6"/>
        <v>0</v>
      </c>
      <c r="Q18" s="66">
        <f t="shared" si="0"/>
        <v>1.1379999999999999</v>
      </c>
      <c r="R18" s="66">
        <f t="shared" si="7"/>
        <v>51.712000000000003</v>
      </c>
      <c r="S18" s="23">
        <f t="shared" si="7"/>
        <v>0</v>
      </c>
      <c r="T18" s="23">
        <f t="shared" si="7"/>
        <v>51.712000000000003</v>
      </c>
      <c r="U18" s="23">
        <f t="shared" si="7"/>
        <v>0</v>
      </c>
      <c r="V18" s="33">
        <f t="shared" si="8"/>
        <v>0</v>
      </c>
      <c r="W18" s="23"/>
      <c r="X18" s="23"/>
      <c r="Y18" s="33" t="e">
        <f>#REF!-#REF!-#REF!-#REF!</f>
        <v>#REF!</v>
      </c>
    </row>
    <row r="19" spans="1:25" s="3" customFormat="1" ht="15.75">
      <c r="A19" s="22">
        <v>6</v>
      </c>
      <c r="B19" s="21" t="s">
        <v>190</v>
      </c>
      <c r="C19" s="92">
        <f t="shared" si="1"/>
        <v>21.6</v>
      </c>
      <c r="D19" s="20">
        <f>'[3]Річна потреба ТЕ на опалення'!Q18</f>
        <v>0</v>
      </c>
      <c r="E19" s="20">
        <f>'[3]Річна потреба ТЕ на опалення'!AG19</f>
        <v>21.6</v>
      </c>
      <c r="F19" s="20">
        <f>'[3]Річна потреба ТЕ на опалення'!S18</f>
        <v>0</v>
      </c>
      <c r="G19" s="93">
        <v>23</v>
      </c>
      <c r="H19" s="206">
        <v>2.3E-3</v>
      </c>
      <c r="I19" s="66">
        <f t="shared" si="2"/>
        <v>0.05</v>
      </c>
      <c r="J19" s="23">
        <f t="shared" si="2"/>
        <v>0</v>
      </c>
      <c r="K19" s="23">
        <f t="shared" si="2"/>
        <v>0.05</v>
      </c>
      <c r="L19" s="23">
        <f t="shared" si="2"/>
        <v>0</v>
      </c>
      <c r="M19" s="66">
        <f t="shared" si="3"/>
        <v>21.65</v>
      </c>
      <c r="N19" s="23">
        <f t="shared" si="4"/>
        <v>0</v>
      </c>
      <c r="O19" s="23">
        <f t="shared" si="5"/>
        <v>21.65</v>
      </c>
      <c r="P19" s="23">
        <f t="shared" si="6"/>
        <v>0</v>
      </c>
      <c r="Q19" s="66">
        <f t="shared" si="0"/>
        <v>0.48699999999999999</v>
      </c>
      <c r="R19" s="66">
        <f t="shared" si="7"/>
        <v>22.137</v>
      </c>
      <c r="S19" s="23">
        <f t="shared" si="7"/>
        <v>0</v>
      </c>
      <c r="T19" s="23">
        <f t="shared" si="7"/>
        <v>22.137</v>
      </c>
      <c r="U19" s="23">
        <f t="shared" si="7"/>
        <v>0</v>
      </c>
      <c r="V19" s="33">
        <f t="shared" si="8"/>
        <v>0</v>
      </c>
      <c r="W19" s="23"/>
      <c r="X19" s="23"/>
      <c r="Y19" s="33" t="e">
        <f>#REF!-#REF!-#REF!-#REF!</f>
        <v>#REF!</v>
      </c>
    </row>
    <row r="20" spans="1:25" s="3" customFormat="1" ht="15.75">
      <c r="A20" s="22">
        <v>7</v>
      </c>
      <c r="B20" s="21" t="s">
        <v>360</v>
      </c>
      <c r="C20" s="92">
        <f t="shared" si="1"/>
        <v>30.050999999999998</v>
      </c>
      <c r="D20" s="20">
        <f>'[3]Річна потреба ТЕ на опалення'!Q19</f>
        <v>0</v>
      </c>
      <c r="E20" s="20">
        <f>'[3]Річна потреба ТЕ на опалення'!AG23</f>
        <v>30.050999999999998</v>
      </c>
      <c r="F20" s="20">
        <f>'[3]Річна потреба ТЕ на опалення'!S19</f>
        <v>0</v>
      </c>
      <c r="G20" s="23">
        <v>225.5</v>
      </c>
      <c r="H20" s="207">
        <v>2.2599999999999999E-2</v>
      </c>
      <c r="I20" s="66">
        <f t="shared" si="2"/>
        <v>0.69499999999999995</v>
      </c>
      <c r="J20" s="23">
        <f t="shared" si="2"/>
        <v>0</v>
      </c>
      <c r="K20" s="23">
        <f t="shared" si="2"/>
        <v>0.69499999999999995</v>
      </c>
      <c r="L20" s="23">
        <f t="shared" si="2"/>
        <v>0</v>
      </c>
      <c r="M20" s="66">
        <f t="shared" si="3"/>
        <v>30.745999999999999</v>
      </c>
      <c r="N20" s="23">
        <f t="shared" si="4"/>
        <v>0</v>
      </c>
      <c r="O20" s="23">
        <f t="shared" si="5"/>
        <v>30.745999999999999</v>
      </c>
      <c r="P20" s="23">
        <f t="shared" si="6"/>
        <v>0</v>
      </c>
      <c r="Q20" s="66">
        <f t="shared" si="0"/>
        <v>0.69199999999999995</v>
      </c>
      <c r="R20" s="66">
        <f t="shared" si="7"/>
        <v>31.437999999999999</v>
      </c>
      <c r="S20" s="23">
        <f t="shared" si="7"/>
        <v>0</v>
      </c>
      <c r="T20" s="23">
        <f t="shared" si="7"/>
        <v>31.437999999999999</v>
      </c>
      <c r="U20" s="23">
        <f t="shared" si="7"/>
        <v>0</v>
      </c>
      <c r="V20" s="33"/>
      <c r="W20" s="23"/>
      <c r="X20" s="23"/>
      <c r="Y20" s="33"/>
    </row>
    <row r="21" spans="1:25" s="3" customFormat="1" ht="15.75">
      <c r="A21" s="22">
        <v>8</v>
      </c>
      <c r="B21" s="21" t="s">
        <v>168</v>
      </c>
      <c r="C21" s="92">
        <f t="shared" si="1"/>
        <v>27.54</v>
      </c>
      <c r="D21" s="20">
        <f>'[3]Річна потреба ТЕ на опалення'!Q20</f>
        <v>0</v>
      </c>
      <c r="E21" s="20">
        <f>'[3]Річна потреба ТЕ на опалення'!AG24</f>
        <v>27.54</v>
      </c>
      <c r="F21" s="20">
        <f>'[3]Річна потреба ТЕ на опалення'!S20</f>
        <v>0</v>
      </c>
      <c r="G21" s="20"/>
      <c r="H21" s="207"/>
      <c r="I21" s="66">
        <f t="shared" si="2"/>
        <v>0</v>
      </c>
      <c r="J21" s="23">
        <f t="shared" si="2"/>
        <v>0</v>
      </c>
      <c r="K21" s="23">
        <f t="shared" si="2"/>
        <v>0</v>
      </c>
      <c r="L21" s="23">
        <f t="shared" si="2"/>
        <v>0</v>
      </c>
      <c r="M21" s="66">
        <f t="shared" si="3"/>
        <v>27.54</v>
      </c>
      <c r="N21" s="23">
        <f>D21/(100%-H21)</f>
        <v>0</v>
      </c>
      <c r="O21" s="23">
        <f>E21/(100%-H21)</f>
        <v>27.54</v>
      </c>
      <c r="P21" s="23">
        <f>F21/(100%-H21)</f>
        <v>0</v>
      </c>
      <c r="Q21" s="66">
        <f t="shared" si="0"/>
        <v>0.62</v>
      </c>
      <c r="R21" s="66">
        <f t="shared" si="7"/>
        <v>28.16</v>
      </c>
      <c r="S21" s="23">
        <f t="shared" si="7"/>
        <v>0</v>
      </c>
      <c r="T21" s="23">
        <f t="shared" si="7"/>
        <v>28.16</v>
      </c>
      <c r="U21" s="23">
        <f t="shared" si="7"/>
        <v>0</v>
      </c>
      <c r="V21" s="33"/>
      <c r="W21" s="23"/>
      <c r="X21" s="23"/>
      <c r="Y21" s="33" t="e">
        <f>#REF!-#REF!-#REF!-#REF!</f>
        <v>#REF!</v>
      </c>
    </row>
    <row r="22" spans="1:25" s="3" customFormat="1" ht="15.75">
      <c r="A22" s="22">
        <v>9</v>
      </c>
      <c r="B22" s="21" t="s">
        <v>221</v>
      </c>
      <c r="C22" s="92">
        <f>D22+E22+F22</f>
        <v>1.917</v>
      </c>
      <c r="D22" s="20">
        <f>'[3]Річна потреба ТЕ на опалення'!Q21</f>
        <v>0</v>
      </c>
      <c r="E22" s="20">
        <f>'[3]Річна потреба ТЕ на опалення'!AG25</f>
        <v>1.917</v>
      </c>
      <c r="F22" s="20">
        <f>'[3]Річна потреба ТЕ на опалення'!S21</f>
        <v>0</v>
      </c>
      <c r="G22" s="23"/>
      <c r="H22" s="207"/>
      <c r="I22" s="66">
        <f t="shared" si="2"/>
        <v>0</v>
      </c>
      <c r="J22" s="23">
        <f t="shared" si="2"/>
        <v>0</v>
      </c>
      <c r="K22" s="23">
        <f t="shared" si="2"/>
        <v>0</v>
      </c>
      <c r="L22" s="23">
        <f t="shared" si="2"/>
        <v>0</v>
      </c>
      <c r="M22" s="66">
        <f>C22/(100%-H22)</f>
        <v>1.917</v>
      </c>
      <c r="N22" s="23">
        <f>D22/(100%-H22)</f>
        <v>0</v>
      </c>
      <c r="O22" s="23">
        <f>E22/(100%-H22)</f>
        <v>1.917</v>
      </c>
      <c r="P22" s="23">
        <f>F22/(100%-H22)</f>
        <v>0</v>
      </c>
      <c r="Q22" s="66">
        <f t="shared" si="0"/>
        <v>4.2999999999999997E-2</v>
      </c>
      <c r="R22" s="66">
        <f t="shared" si="7"/>
        <v>1.96</v>
      </c>
      <c r="S22" s="23">
        <f t="shared" si="7"/>
        <v>0</v>
      </c>
      <c r="T22" s="23">
        <f t="shared" si="7"/>
        <v>1.96</v>
      </c>
      <c r="U22" s="23">
        <f t="shared" si="7"/>
        <v>0</v>
      </c>
      <c r="V22" s="33" t="e">
        <f>#REF!-#REF!-#REF!-#REF!</f>
        <v>#REF!</v>
      </c>
      <c r="W22" s="23"/>
      <c r="X22" s="23"/>
      <c r="Y22" s="33" t="e">
        <f>#REF!-#REF!-#REF!-#REF!</f>
        <v>#REF!</v>
      </c>
    </row>
    <row r="23" spans="1:25" s="3" customFormat="1" ht="15.75">
      <c r="A23" s="22">
        <v>10</v>
      </c>
      <c r="B23" s="21" t="s">
        <v>222</v>
      </c>
      <c r="C23" s="98">
        <f>D23+E23+F23</f>
        <v>6.9390000000000001</v>
      </c>
      <c r="D23" s="20">
        <f>'[3]Річна потреба ТЕ на опалення'!Q22</f>
        <v>0</v>
      </c>
      <c r="E23" s="20">
        <f>'[3]Річна потреба ТЕ на опалення'!AG26</f>
        <v>6.9390000000000001</v>
      </c>
      <c r="F23" s="20">
        <f>'[3]Річна потреба ТЕ на опалення'!S22</f>
        <v>0</v>
      </c>
      <c r="G23" s="30"/>
      <c r="H23" s="31"/>
      <c r="I23" s="99">
        <f t="shared" si="2"/>
        <v>0</v>
      </c>
      <c r="J23" s="30">
        <f t="shared" si="2"/>
        <v>0</v>
      </c>
      <c r="K23" s="30">
        <f t="shared" si="2"/>
        <v>0</v>
      </c>
      <c r="L23" s="30">
        <f t="shared" si="2"/>
        <v>0</v>
      </c>
      <c r="M23" s="99">
        <f>C23/(100%-H23)</f>
        <v>6.9390000000000001</v>
      </c>
      <c r="N23" s="30">
        <f>D23/(100%-H23)</f>
        <v>0</v>
      </c>
      <c r="O23" s="30">
        <f>E23/(100%-H23)</f>
        <v>6.9390000000000001</v>
      </c>
      <c r="P23" s="30">
        <f>F23/(100%-H23)</f>
        <v>0</v>
      </c>
      <c r="Q23" s="66">
        <f t="shared" si="0"/>
        <v>0.156</v>
      </c>
      <c r="R23" s="66">
        <f t="shared" si="7"/>
        <v>7.0949999999999998</v>
      </c>
      <c r="S23" s="23">
        <f t="shared" si="7"/>
        <v>0</v>
      </c>
      <c r="T23" s="23">
        <f t="shared" si="7"/>
        <v>7.0949999999999998</v>
      </c>
      <c r="U23" s="23">
        <f t="shared" si="7"/>
        <v>0</v>
      </c>
      <c r="V23" s="33">
        <f>R22-S22-T22-U22</f>
        <v>0</v>
      </c>
      <c r="W23" s="23"/>
      <c r="X23" s="23"/>
      <c r="Y23" s="33" t="e">
        <f>#REF!-#REF!-#REF!-#REF!</f>
        <v>#REF!</v>
      </c>
    </row>
    <row r="24" spans="1:25" s="3" customFormat="1" ht="15.75">
      <c r="A24" s="22">
        <v>11</v>
      </c>
      <c r="B24" s="21" t="s">
        <v>223</v>
      </c>
      <c r="C24" s="98">
        <f>D24+E24+F24</f>
        <v>73.17</v>
      </c>
      <c r="D24" s="20">
        <f>'[3]Річна потреба ТЕ на опалення'!Q23</f>
        <v>0</v>
      </c>
      <c r="E24" s="20">
        <f>'[3]Річна потреба ТЕ на опалення'!AG27</f>
        <v>73.17</v>
      </c>
      <c r="F24" s="20">
        <f>'[3]Річна потреба ТЕ на опалення'!S23</f>
        <v>0</v>
      </c>
      <c r="G24" s="30"/>
      <c r="H24" s="31"/>
      <c r="I24" s="99">
        <f t="shared" si="2"/>
        <v>0</v>
      </c>
      <c r="J24" s="30">
        <f t="shared" si="2"/>
        <v>0</v>
      </c>
      <c r="K24" s="30">
        <f t="shared" si="2"/>
        <v>0</v>
      </c>
      <c r="L24" s="30">
        <f t="shared" si="2"/>
        <v>0</v>
      </c>
      <c r="M24" s="99">
        <f>C24/(100%-H24)</f>
        <v>73.17</v>
      </c>
      <c r="N24" s="30">
        <f>D24/(100%-H24)</f>
        <v>0</v>
      </c>
      <c r="O24" s="30">
        <f>E24/(100%-H24)</f>
        <v>73.17</v>
      </c>
      <c r="P24" s="30">
        <f>F24/(100%-H24)</f>
        <v>0</v>
      </c>
      <c r="Q24" s="66">
        <f t="shared" si="0"/>
        <v>1.6459999999999999</v>
      </c>
      <c r="R24" s="66">
        <f t="shared" si="7"/>
        <v>74.816000000000003</v>
      </c>
      <c r="S24" s="23">
        <f t="shared" si="7"/>
        <v>0</v>
      </c>
      <c r="T24" s="23">
        <f t="shared" si="7"/>
        <v>74.816000000000003</v>
      </c>
      <c r="U24" s="23">
        <f t="shared" si="7"/>
        <v>0</v>
      </c>
      <c r="V24" s="33">
        <f>R23-S23-T23-U23</f>
        <v>0</v>
      </c>
      <c r="W24" s="23"/>
      <c r="X24" s="23"/>
      <c r="Y24" s="33" t="e">
        <f>#REF!-#REF!-#REF!-#REF!</f>
        <v>#REF!</v>
      </c>
    </row>
    <row r="25" spans="1:25" s="3" customFormat="1" ht="15.75">
      <c r="A25" s="22">
        <v>12</v>
      </c>
      <c r="B25" s="21" t="s">
        <v>224</v>
      </c>
      <c r="C25" s="92">
        <f t="shared" si="1"/>
        <v>353.50099999999998</v>
      </c>
      <c r="D25" s="20">
        <f>'[3]Річна потреба ТЕ на опалення'!AF44</f>
        <v>29.97</v>
      </c>
      <c r="E25" s="20">
        <f>'[3]Річна потреба ТЕ на опалення'!AG44</f>
        <v>292.76100000000002</v>
      </c>
      <c r="F25" s="20">
        <f>'[3]Річна потреба ТЕ на опалення'!AH44</f>
        <v>30.77</v>
      </c>
      <c r="G25" s="20">
        <v>1464</v>
      </c>
      <c r="H25" s="209">
        <v>7.5800000000000006E-2</v>
      </c>
      <c r="I25" s="92">
        <f t="shared" si="2"/>
        <v>28.992999999999999</v>
      </c>
      <c r="J25" s="20">
        <f t="shared" si="2"/>
        <v>2.4580000000000002</v>
      </c>
      <c r="K25" s="20">
        <f t="shared" si="2"/>
        <v>24.010999999999999</v>
      </c>
      <c r="L25" s="20">
        <f t="shared" si="2"/>
        <v>2.524</v>
      </c>
      <c r="M25" s="92">
        <f t="shared" si="3"/>
        <v>382.49400000000003</v>
      </c>
      <c r="N25" s="20">
        <f t="shared" si="4"/>
        <v>32.427999999999997</v>
      </c>
      <c r="O25" s="20">
        <f t="shared" si="5"/>
        <v>316.77199999999999</v>
      </c>
      <c r="P25" s="20">
        <f t="shared" si="6"/>
        <v>33.293999999999997</v>
      </c>
      <c r="Q25" s="66">
        <f t="shared" si="0"/>
        <v>8.6039999999999992</v>
      </c>
      <c r="R25" s="66">
        <f t="shared" si="7"/>
        <v>391.09800000000001</v>
      </c>
      <c r="S25" s="23">
        <f t="shared" si="7"/>
        <v>33.156999999999996</v>
      </c>
      <c r="T25" s="23">
        <f t="shared" si="7"/>
        <v>323.89800000000002</v>
      </c>
      <c r="U25" s="23">
        <f t="shared" si="7"/>
        <v>34.042999999999999</v>
      </c>
      <c r="V25" s="33">
        <f t="shared" si="8"/>
        <v>0</v>
      </c>
      <c r="W25" s="23"/>
      <c r="X25" s="23"/>
      <c r="Y25" s="33" t="e">
        <f>#REF!-#REF!-#REF!-#REF!</f>
        <v>#REF!</v>
      </c>
    </row>
    <row r="26" spans="1:25" s="3" customFormat="1" ht="15.75">
      <c r="A26" s="22">
        <v>13</v>
      </c>
      <c r="B26" s="21" t="s">
        <v>225</v>
      </c>
      <c r="C26" s="92">
        <f t="shared" si="1"/>
        <v>335.637</v>
      </c>
      <c r="D26" s="20">
        <f>'[3]Річна потреба ТЕ на опалення'!AF52</f>
        <v>33.479999999999997</v>
      </c>
      <c r="E26" s="20">
        <f>'[3]Річна потреба ТЕ на опалення'!AG52</f>
        <v>253.8</v>
      </c>
      <c r="F26" s="20">
        <f>'[3]Річна потреба ТЕ на опалення'!AH52</f>
        <v>48.356999999999999</v>
      </c>
      <c r="G26" s="23">
        <v>1398</v>
      </c>
      <c r="H26" s="207">
        <v>7.1900000000000006E-2</v>
      </c>
      <c r="I26" s="66">
        <f t="shared" si="2"/>
        <v>26.001999999999999</v>
      </c>
      <c r="J26" s="23">
        <f t="shared" si="2"/>
        <v>2.5939999999999999</v>
      </c>
      <c r="K26" s="23">
        <f t="shared" si="2"/>
        <v>19.661999999999999</v>
      </c>
      <c r="L26" s="23">
        <f t="shared" si="2"/>
        <v>3.746</v>
      </c>
      <c r="M26" s="66">
        <f t="shared" si="3"/>
        <v>361.63900000000001</v>
      </c>
      <c r="N26" s="23">
        <f t="shared" si="4"/>
        <v>36.073999999999998</v>
      </c>
      <c r="O26" s="23">
        <f t="shared" si="5"/>
        <v>273.46199999999999</v>
      </c>
      <c r="P26" s="23">
        <f t="shared" si="6"/>
        <v>52.103000000000002</v>
      </c>
      <c r="Q26" s="66">
        <f t="shared" si="0"/>
        <v>8.1349999999999998</v>
      </c>
      <c r="R26" s="66">
        <f t="shared" si="7"/>
        <v>369.774</v>
      </c>
      <c r="S26" s="23">
        <f t="shared" si="7"/>
        <v>36.884999999999998</v>
      </c>
      <c r="T26" s="23">
        <f t="shared" si="7"/>
        <v>279.613</v>
      </c>
      <c r="U26" s="23">
        <f t="shared" si="7"/>
        <v>53.274999999999999</v>
      </c>
      <c r="V26" s="33">
        <f t="shared" si="8"/>
        <v>0</v>
      </c>
      <c r="W26" s="23"/>
      <c r="X26" s="23"/>
      <c r="Y26" s="33" t="e">
        <f>#REF!-#REF!-#REF!-#REF!</f>
        <v>#REF!</v>
      </c>
    </row>
    <row r="27" spans="1:25" s="3" customFormat="1" ht="15.75">
      <c r="A27" s="22">
        <v>14</v>
      </c>
      <c r="B27" s="21" t="s">
        <v>169</v>
      </c>
      <c r="C27" s="92">
        <f t="shared" si="1"/>
        <v>60.75</v>
      </c>
      <c r="D27" s="20">
        <f>'[3]Річна потреба ТЕ на опалення'!Q26</f>
        <v>0</v>
      </c>
      <c r="E27" s="20">
        <f>'[3]Річна потреба ТЕ на опалення'!AG53</f>
        <v>60.75</v>
      </c>
      <c r="F27" s="20">
        <f>'[3]Річна потреба ТЕ на опалення'!S26</f>
        <v>0</v>
      </c>
      <c r="G27" s="23"/>
      <c r="H27" s="207"/>
      <c r="I27" s="66">
        <f t="shared" si="2"/>
        <v>0</v>
      </c>
      <c r="J27" s="23">
        <f t="shared" si="2"/>
        <v>0</v>
      </c>
      <c r="K27" s="23">
        <f t="shared" si="2"/>
        <v>0</v>
      </c>
      <c r="L27" s="23">
        <f t="shared" si="2"/>
        <v>0</v>
      </c>
      <c r="M27" s="66">
        <f t="shared" si="3"/>
        <v>60.75</v>
      </c>
      <c r="N27" s="23">
        <f t="shared" si="4"/>
        <v>0</v>
      </c>
      <c r="O27" s="23">
        <f t="shared" si="5"/>
        <v>60.75</v>
      </c>
      <c r="P27" s="23">
        <f t="shared" si="6"/>
        <v>0</v>
      </c>
      <c r="Q27" s="66">
        <f t="shared" si="0"/>
        <v>1.367</v>
      </c>
      <c r="R27" s="66">
        <f t="shared" si="7"/>
        <v>62.116999999999997</v>
      </c>
      <c r="S27" s="23">
        <f t="shared" si="7"/>
        <v>0</v>
      </c>
      <c r="T27" s="23">
        <f t="shared" si="7"/>
        <v>62.116999999999997</v>
      </c>
      <c r="U27" s="23">
        <f t="shared" si="7"/>
        <v>0</v>
      </c>
      <c r="V27" s="33">
        <f t="shared" si="8"/>
        <v>0</v>
      </c>
      <c r="W27" s="23"/>
      <c r="X27" s="23"/>
      <c r="Y27" s="33" t="e">
        <f>#REF!-#REF!-#REF!-#REF!</f>
        <v>#REF!</v>
      </c>
    </row>
    <row r="28" spans="1:25" s="3" customFormat="1" ht="15.75">
      <c r="A28" s="22">
        <v>15</v>
      </c>
      <c r="B28" s="21" t="s">
        <v>362</v>
      </c>
      <c r="C28" s="92">
        <f t="shared" si="1"/>
        <v>86.4</v>
      </c>
      <c r="D28" s="20">
        <f>'[3]Річна потреба ТЕ на опалення'!Q27</f>
        <v>0</v>
      </c>
      <c r="E28" s="20">
        <f>'[3]Річна потреба ТЕ на опалення'!AG54</f>
        <v>86.4</v>
      </c>
      <c r="F28" s="20">
        <f>'[3]Річна потреба ТЕ на опалення'!S27</f>
        <v>0</v>
      </c>
      <c r="G28" s="23">
        <v>7.5</v>
      </c>
      <c r="H28" s="207">
        <v>8.0000000000000004E-4</v>
      </c>
      <c r="I28" s="66">
        <f t="shared" si="2"/>
        <v>6.9000000000000006E-2</v>
      </c>
      <c r="J28" s="23">
        <f t="shared" si="2"/>
        <v>0</v>
      </c>
      <c r="K28" s="23">
        <f t="shared" si="2"/>
        <v>6.9000000000000006E-2</v>
      </c>
      <c r="L28" s="23">
        <f t="shared" si="2"/>
        <v>0</v>
      </c>
      <c r="M28" s="66">
        <f t="shared" si="3"/>
        <v>86.468999999999994</v>
      </c>
      <c r="N28" s="23">
        <f t="shared" si="4"/>
        <v>0</v>
      </c>
      <c r="O28" s="23">
        <f t="shared" si="5"/>
        <v>86.468999999999994</v>
      </c>
      <c r="P28" s="23">
        <f t="shared" si="6"/>
        <v>0</v>
      </c>
      <c r="Q28" s="66">
        <f t="shared" si="0"/>
        <v>1.9450000000000001</v>
      </c>
      <c r="R28" s="66">
        <f t="shared" si="7"/>
        <v>88.414000000000001</v>
      </c>
      <c r="S28" s="23">
        <f t="shared" si="7"/>
        <v>0</v>
      </c>
      <c r="T28" s="23">
        <f t="shared" si="7"/>
        <v>88.414000000000001</v>
      </c>
      <c r="U28" s="23">
        <f t="shared" si="7"/>
        <v>0</v>
      </c>
      <c r="V28" s="33">
        <f t="shared" si="8"/>
        <v>0</v>
      </c>
      <c r="W28" s="23"/>
      <c r="X28" s="23"/>
      <c r="Y28" s="33" t="e">
        <f>#REF!-#REF!-#REF!-#REF!</f>
        <v>#REF!</v>
      </c>
    </row>
    <row r="29" spans="1:25" s="3" customFormat="1" ht="15.75">
      <c r="A29" s="22">
        <v>16</v>
      </c>
      <c r="B29" s="21" t="s">
        <v>226</v>
      </c>
      <c r="C29" s="92">
        <f>D29+E29+F29</f>
        <v>58.05</v>
      </c>
      <c r="D29" s="20">
        <f>'[3]Річна потреба ТЕ на опалення'!T55</f>
        <v>0</v>
      </c>
      <c r="E29" s="20">
        <f>'[3]Річна потреба ТЕ на опалення'!AG55+'[3]Річна потреба ТЕ на опалення'!AG56</f>
        <v>58.05</v>
      </c>
      <c r="F29" s="20">
        <f>'[3]Річна потреба ТЕ на опалення'!S28</f>
        <v>0</v>
      </c>
      <c r="G29" s="23"/>
      <c r="H29" s="207"/>
      <c r="I29" s="66">
        <f t="shared" si="2"/>
        <v>0</v>
      </c>
      <c r="J29" s="23">
        <f t="shared" si="2"/>
        <v>0</v>
      </c>
      <c r="K29" s="23">
        <f t="shared" si="2"/>
        <v>0</v>
      </c>
      <c r="L29" s="23">
        <f t="shared" si="2"/>
        <v>0</v>
      </c>
      <c r="M29" s="66">
        <f t="shared" si="3"/>
        <v>58.05</v>
      </c>
      <c r="N29" s="23">
        <f t="shared" si="4"/>
        <v>0</v>
      </c>
      <c r="O29" s="23">
        <f t="shared" si="5"/>
        <v>58.05</v>
      </c>
      <c r="P29" s="23">
        <f t="shared" si="6"/>
        <v>0</v>
      </c>
      <c r="Q29" s="66">
        <f t="shared" si="0"/>
        <v>1.306</v>
      </c>
      <c r="R29" s="66">
        <f t="shared" si="7"/>
        <v>59.356000000000002</v>
      </c>
      <c r="S29" s="23">
        <f t="shared" si="7"/>
        <v>0</v>
      </c>
      <c r="T29" s="23">
        <f t="shared" si="7"/>
        <v>59.356000000000002</v>
      </c>
      <c r="U29" s="23">
        <f t="shared" si="7"/>
        <v>0</v>
      </c>
      <c r="V29" s="33">
        <f t="shared" si="8"/>
        <v>0</v>
      </c>
      <c r="W29" s="23"/>
      <c r="X29" s="23"/>
      <c r="Y29" s="33" t="e">
        <f>#REF!-#REF!-#REF!-#REF!</f>
        <v>#REF!</v>
      </c>
    </row>
    <row r="30" spans="1:25" s="3" customFormat="1" ht="15.75">
      <c r="A30" s="22">
        <v>17</v>
      </c>
      <c r="B30" s="21" t="s">
        <v>227</v>
      </c>
      <c r="C30" s="92">
        <f t="shared" si="1"/>
        <v>55.35</v>
      </c>
      <c r="D30" s="20">
        <f>'[3]Річна потреба ТЕ на опалення'!T56</f>
        <v>0</v>
      </c>
      <c r="E30" s="20">
        <f>'[3]Річна потреба ТЕ на опалення'!AG57</f>
        <v>55.35</v>
      </c>
      <c r="F30" s="20">
        <f>'[3]Річна потреба ТЕ на опалення'!S29</f>
        <v>0</v>
      </c>
      <c r="G30" s="23"/>
      <c r="H30" s="207"/>
      <c r="I30" s="66">
        <f t="shared" si="2"/>
        <v>0</v>
      </c>
      <c r="J30" s="23">
        <f t="shared" si="2"/>
        <v>0</v>
      </c>
      <c r="K30" s="23">
        <f t="shared" si="2"/>
        <v>0</v>
      </c>
      <c r="L30" s="23">
        <f t="shared" si="2"/>
        <v>0</v>
      </c>
      <c r="M30" s="66">
        <f t="shared" si="3"/>
        <v>55.35</v>
      </c>
      <c r="N30" s="23">
        <f t="shared" si="4"/>
        <v>0</v>
      </c>
      <c r="O30" s="23">
        <f t="shared" si="5"/>
        <v>55.35</v>
      </c>
      <c r="P30" s="23">
        <f t="shared" si="6"/>
        <v>0</v>
      </c>
      <c r="Q30" s="66">
        <f t="shared" si="0"/>
        <v>1.2450000000000001</v>
      </c>
      <c r="R30" s="66">
        <f t="shared" si="7"/>
        <v>56.594999999999999</v>
      </c>
      <c r="S30" s="23">
        <f t="shared" si="7"/>
        <v>0</v>
      </c>
      <c r="T30" s="23">
        <f t="shared" si="7"/>
        <v>56.594999999999999</v>
      </c>
      <c r="U30" s="23">
        <f t="shared" si="7"/>
        <v>0</v>
      </c>
      <c r="V30" s="33">
        <f t="shared" si="8"/>
        <v>0</v>
      </c>
      <c r="W30" s="23"/>
      <c r="X30" s="23"/>
      <c r="Y30" s="33" t="e">
        <f>#REF!-#REF!-#REF!-#REF!</f>
        <v>#REF!</v>
      </c>
    </row>
    <row r="31" spans="1:25" s="3" customFormat="1" ht="15.75">
      <c r="A31" s="22">
        <v>18</v>
      </c>
      <c r="B31" s="21" t="s">
        <v>363</v>
      </c>
      <c r="C31" s="92">
        <f t="shared" si="1"/>
        <v>17.28</v>
      </c>
      <c r="D31" s="20">
        <f>'[3]Річна потреба ТЕ на опалення'!T57</f>
        <v>0</v>
      </c>
      <c r="E31" s="20">
        <f>'[3]Річна потреба ТЕ на опалення'!AG58+'[3]Річна потреба ТЕ на опалення'!AG59</f>
        <v>17.28</v>
      </c>
      <c r="F31" s="20">
        <f>'[3]Річна потреба ТЕ на опалення'!S30</f>
        <v>0</v>
      </c>
      <c r="G31" s="23"/>
      <c r="H31" s="207"/>
      <c r="I31" s="66">
        <f t="shared" si="2"/>
        <v>0</v>
      </c>
      <c r="J31" s="23">
        <f t="shared" si="2"/>
        <v>0</v>
      </c>
      <c r="K31" s="23">
        <f t="shared" si="2"/>
        <v>0</v>
      </c>
      <c r="L31" s="23">
        <f t="shared" si="2"/>
        <v>0</v>
      </c>
      <c r="M31" s="66">
        <f t="shared" si="3"/>
        <v>17.28</v>
      </c>
      <c r="N31" s="23">
        <f t="shared" si="4"/>
        <v>0</v>
      </c>
      <c r="O31" s="23">
        <f t="shared" si="5"/>
        <v>17.28</v>
      </c>
      <c r="P31" s="23">
        <f t="shared" si="6"/>
        <v>0</v>
      </c>
      <c r="Q31" s="66">
        <f t="shared" si="0"/>
        <v>0.38900000000000001</v>
      </c>
      <c r="R31" s="66">
        <f t="shared" si="7"/>
        <v>17.669</v>
      </c>
      <c r="S31" s="23">
        <f t="shared" si="7"/>
        <v>0</v>
      </c>
      <c r="T31" s="23">
        <f t="shared" si="7"/>
        <v>17.669</v>
      </c>
      <c r="U31" s="23">
        <f t="shared" si="7"/>
        <v>0</v>
      </c>
      <c r="V31" s="33">
        <f t="shared" si="8"/>
        <v>0</v>
      </c>
      <c r="W31" s="23"/>
      <c r="X31" s="23"/>
      <c r="Y31" s="33" t="e">
        <f>#REF!-#REF!-#REF!-#REF!</f>
        <v>#REF!</v>
      </c>
    </row>
    <row r="32" spans="1:25" s="3" customFormat="1" ht="15.75">
      <c r="A32" s="22">
        <v>19</v>
      </c>
      <c r="B32" s="21" t="s">
        <v>228</v>
      </c>
      <c r="C32" s="92">
        <f t="shared" si="1"/>
        <v>140.07599999999999</v>
      </c>
      <c r="D32" s="20">
        <f>'[3]Річна потреба ТЕ на опалення'!T58</f>
        <v>0</v>
      </c>
      <c r="E32" s="20">
        <f>'[3]Річна потреба ТЕ на опалення'!AG60+'[3]Річна потреба ТЕ на опалення'!AG61+'[3]Річна потреба ТЕ на опалення'!AG62</f>
        <v>140.07599999999999</v>
      </c>
      <c r="F32" s="20">
        <f>'[3]Річна потреба ТЕ на опалення'!S31</f>
        <v>0</v>
      </c>
      <c r="G32" s="23"/>
      <c r="H32" s="207"/>
      <c r="I32" s="66">
        <f t="shared" si="2"/>
        <v>0</v>
      </c>
      <c r="J32" s="23">
        <f t="shared" si="2"/>
        <v>0</v>
      </c>
      <c r="K32" s="23">
        <f t="shared" si="2"/>
        <v>0</v>
      </c>
      <c r="L32" s="23">
        <f t="shared" si="2"/>
        <v>0</v>
      </c>
      <c r="M32" s="66">
        <f t="shared" si="3"/>
        <v>140.07599999999999</v>
      </c>
      <c r="N32" s="23">
        <f t="shared" si="4"/>
        <v>0</v>
      </c>
      <c r="O32" s="23">
        <f t="shared" si="5"/>
        <v>140.07599999999999</v>
      </c>
      <c r="P32" s="23">
        <f t="shared" si="6"/>
        <v>0</v>
      </c>
      <c r="Q32" s="66">
        <f t="shared" si="0"/>
        <v>3.1509999999999998</v>
      </c>
      <c r="R32" s="66">
        <f t="shared" si="7"/>
        <v>143.227</v>
      </c>
      <c r="S32" s="23">
        <f t="shared" si="7"/>
        <v>0</v>
      </c>
      <c r="T32" s="23">
        <f t="shared" si="7"/>
        <v>143.227</v>
      </c>
      <c r="U32" s="23">
        <f t="shared" si="7"/>
        <v>0</v>
      </c>
      <c r="V32" s="33">
        <f t="shared" si="8"/>
        <v>0</v>
      </c>
      <c r="W32" s="23"/>
      <c r="X32" s="23"/>
      <c r="Y32" s="33" t="e">
        <f>#REF!-#REF!-#REF!-#REF!</f>
        <v>#REF!</v>
      </c>
    </row>
    <row r="33" spans="1:25" s="3" customFormat="1" ht="16.5" thickBot="1">
      <c r="A33" s="25">
        <v>20</v>
      </c>
      <c r="B33" s="21" t="s">
        <v>229</v>
      </c>
      <c r="C33" s="92">
        <f t="shared" si="1"/>
        <v>55.944000000000003</v>
      </c>
      <c r="D33" s="20">
        <f>'[3]Річна потреба ТЕ на опалення'!T59</f>
        <v>0</v>
      </c>
      <c r="E33" s="20">
        <f>'[3]Річна потреба ТЕ на опалення'!AG63+'[3]Річна потреба ТЕ на опалення'!AG64</f>
        <v>55.944000000000003</v>
      </c>
      <c r="F33" s="20">
        <f>'[3]Річна потреба ТЕ на опалення'!S32</f>
        <v>0</v>
      </c>
      <c r="G33" s="23">
        <v>21</v>
      </c>
      <c r="H33" s="207">
        <v>2.0999999999999999E-3</v>
      </c>
      <c r="I33" s="66">
        <f t="shared" si="2"/>
        <v>0.11799999999999999</v>
      </c>
      <c r="J33" s="23">
        <f t="shared" si="2"/>
        <v>0</v>
      </c>
      <c r="K33" s="23">
        <f t="shared" si="2"/>
        <v>0.11799999999999999</v>
      </c>
      <c r="L33" s="23">
        <f t="shared" si="2"/>
        <v>0</v>
      </c>
      <c r="M33" s="66">
        <f t="shared" si="3"/>
        <v>56.061999999999998</v>
      </c>
      <c r="N33" s="23">
        <f t="shared" si="4"/>
        <v>0</v>
      </c>
      <c r="O33" s="23">
        <f t="shared" si="5"/>
        <v>56.061999999999998</v>
      </c>
      <c r="P33" s="23">
        <f t="shared" si="6"/>
        <v>0</v>
      </c>
      <c r="Q33" s="66">
        <f t="shared" si="0"/>
        <v>1.2609999999999999</v>
      </c>
      <c r="R33" s="66">
        <f t="shared" si="7"/>
        <v>57.323</v>
      </c>
      <c r="S33" s="23">
        <f t="shared" si="7"/>
        <v>0</v>
      </c>
      <c r="T33" s="23">
        <f t="shared" si="7"/>
        <v>57.323</v>
      </c>
      <c r="U33" s="23">
        <f t="shared" si="7"/>
        <v>0</v>
      </c>
      <c r="V33" s="33">
        <f t="shared" si="8"/>
        <v>0</v>
      </c>
      <c r="W33" s="30"/>
      <c r="X33" s="30"/>
      <c r="Y33" s="33" t="e">
        <f>#REF!-#REF!-#REF!-#REF!</f>
        <v>#REF!</v>
      </c>
    </row>
    <row r="34" spans="1:25" s="3" customFormat="1" ht="15.75" customHeight="1" thickBot="1">
      <c r="A34" s="26">
        <v>21</v>
      </c>
      <c r="B34" s="27" t="s">
        <v>230</v>
      </c>
      <c r="C34" s="92">
        <f t="shared" si="1"/>
        <v>12.231</v>
      </c>
      <c r="D34" s="20">
        <f>'[3]Річна потреба ТЕ на опалення'!T60</f>
        <v>0</v>
      </c>
      <c r="E34" s="20">
        <f>'[3]Річна потреба ТЕ на опалення'!AG65</f>
        <v>12.231</v>
      </c>
      <c r="F34" s="20">
        <f>'[3]Річна потреба ТЕ на опалення'!S33</f>
        <v>0</v>
      </c>
      <c r="G34" s="30">
        <v>38.5</v>
      </c>
      <c r="H34" s="31">
        <v>3.8999999999999998E-3</v>
      </c>
      <c r="I34" s="99">
        <f t="shared" si="2"/>
        <v>4.8000000000000001E-2</v>
      </c>
      <c r="J34" s="30">
        <f t="shared" si="2"/>
        <v>0</v>
      </c>
      <c r="K34" s="30">
        <f t="shared" si="2"/>
        <v>4.8000000000000001E-2</v>
      </c>
      <c r="L34" s="30">
        <f t="shared" si="2"/>
        <v>0</v>
      </c>
      <c r="M34" s="99">
        <f t="shared" si="3"/>
        <v>12.279</v>
      </c>
      <c r="N34" s="30">
        <f t="shared" si="4"/>
        <v>0</v>
      </c>
      <c r="O34" s="30">
        <f t="shared" si="5"/>
        <v>12.279</v>
      </c>
      <c r="P34" s="30">
        <f t="shared" si="6"/>
        <v>0</v>
      </c>
      <c r="Q34" s="66">
        <f t="shared" si="0"/>
        <v>0.27600000000000002</v>
      </c>
      <c r="R34" s="66">
        <f t="shared" si="7"/>
        <v>12.555</v>
      </c>
      <c r="S34" s="23">
        <f t="shared" si="7"/>
        <v>0</v>
      </c>
      <c r="T34" s="23">
        <f t="shared" si="7"/>
        <v>12.555</v>
      </c>
      <c r="U34" s="23">
        <f t="shared" si="7"/>
        <v>0</v>
      </c>
      <c r="V34" s="33">
        <f t="shared" si="8"/>
        <v>0</v>
      </c>
      <c r="W34" s="7"/>
      <c r="X34" s="7"/>
      <c r="Y34" s="33" t="e">
        <f>#REF!-#REF!-#REF!-#REF!</f>
        <v>#REF!</v>
      </c>
    </row>
    <row r="35" spans="1:25" s="3" customFormat="1" ht="16.5" thickBot="1">
      <c r="A35" s="4"/>
      <c r="B35" s="4" t="s">
        <v>161</v>
      </c>
      <c r="C35" s="7">
        <f>SUM(C14:C34)</f>
        <v>1477.896</v>
      </c>
      <c r="D35" s="7">
        <f>SUM(D14:D34)</f>
        <v>63.45</v>
      </c>
      <c r="E35" s="7">
        <f>SUM(E14:E34)</f>
        <v>1325.8689999999999</v>
      </c>
      <c r="F35" s="7">
        <f>SUM(F14:F34)</f>
        <v>88.576999999999998</v>
      </c>
      <c r="G35" s="7">
        <f>SUM(G14:G34)</f>
        <v>3369.5</v>
      </c>
      <c r="H35" s="9">
        <f>I35/M35</f>
        <v>3.6900000000000002E-2</v>
      </c>
      <c r="I35" s="7">
        <f t="shared" ref="I35:Q35" si="9">SUM(I14:I34)</f>
        <v>56.658999999999999</v>
      </c>
      <c r="J35" s="7">
        <f t="shared" si="9"/>
        <v>5.0519999999999996</v>
      </c>
      <c r="K35" s="7">
        <f t="shared" si="9"/>
        <v>45.317999999999998</v>
      </c>
      <c r="L35" s="7">
        <f t="shared" si="9"/>
        <v>6.2889999999999997</v>
      </c>
      <c r="M35" s="7">
        <f t="shared" si="9"/>
        <v>1534.5550000000001</v>
      </c>
      <c r="N35" s="7">
        <f t="shared" si="9"/>
        <v>68.501999999999995</v>
      </c>
      <c r="O35" s="7">
        <f t="shared" si="9"/>
        <v>1371.1869999999999</v>
      </c>
      <c r="P35" s="7">
        <f t="shared" si="9"/>
        <v>94.866</v>
      </c>
      <c r="Q35" s="7">
        <f t="shared" si="9"/>
        <v>34.521000000000001</v>
      </c>
      <c r="R35" s="7">
        <f>SUM(R14:R34)</f>
        <v>1569.076</v>
      </c>
      <c r="S35" s="7">
        <f>SUM(S14:S34)</f>
        <v>70.042000000000002</v>
      </c>
      <c r="T35" s="7">
        <f>SUM(T14:T34)</f>
        <v>1402.0329999999999</v>
      </c>
      <c r="U35" s="7">
        <f>SUM(U14:U34)</f>
        <v>97</v>
      </c>
      <c r="V35" s="33">
        <f t="shared" si="8"/>
        <v>0</v>
      </c>
    </row>
    <row r="36" spans="1:25" s="3" customFormat="1" ht="15.75">
      <c r="C36" s="1"/>
      <c r="I36" s="1"/>
      <c r="J36" s="1"/>
      <c r="K36" s="1"/>
      <c r="L36" s="1"/>
      <c r="M36" s="1"/>
      <c r="Q36" s="1"/>
      <c r="R36" s="1"/>
    </row>
    <row r="37" spans="1:25" s="3" customFormat="1" ht="15.75">
      <c r="C37" s="1"/>
      <c r="D37" s="57"/>
      <c r="E37" s="57"/>
      <c r="F37" s="57"/>
      <c r="I37" s="1"/>
      <c r="J37" s="1"/>
      <c r="K37" s="1"/>
      <c r="L37" s="1"/>
      <c r="M37" s="1"/>
      <c r="Q37" s="1"/>
      <c r="R37" s="1"/>
      <c r="W37" s="34"/>
      <c r="X37" s="34"/>
    </row>
    <row r="38" spans="1:25" s="3" customFormat="1" ht="15.75">
      <c r="C38" s="1"/>
      <c r="I38" s="1"/>
      <c r="J38" s="1"/>
      <c r="K38" s="1"/>
      <c r="L38" s="1"/>
      <c r="M38" s="1"/>
      <c r="Q38" s="383">
        <f>R35-R17-R22-R23</f>
        <v>1550.3389999999999</v>
      </c>
      <c r="R38" s="210"/>
    </row>
    <row r="39" spans="1:25" s="3" customFormat="1" ht="15.75">
      <c r="C39" s="1"/>
      <c r="H39" s="56"/>
      <c r="I39" s="1"/>
      <c r="J39" s="1"/>
      <c r="K39" s="1"/>
      <c r="L39" s="1"/>
      <c r="M39" s="1"/>
      <c r="Q39" s="1"/>
      <c r="R39" s="1"/>
    </row>
    <row r="40" spans="1:25" ht="15.75">
      <c r="A40" s="3"/>
      <c r="B40" s="3"/>
      <c r="C40" s="1"/>
      <c r="D40" s="3"/>
      <c r="E40" s="3"/>
      <c r="F40" s="3"/>
      <c r="G40" s="3"/>
      <c r="H40" s="56"/>
      <c r="I40" s="1"/>
      <c r="J40" s="1"/>
      <c r="K40" s="1"/>
      <c r="L40" s="1"/>
      <c r="M40" s="1"/>
      <c r="N40" s="3"/>
      <c r="O40" s="3"/>
      <c r="P40" s="3"/>
      <c r="Q40" s="210">
        <f>R35-R22-R23</f>
        <v>1560.021</v>
      </c>
      <c r="R40" s="1"/>
      <c r="S40" s="3"/>
      <c r="T40" s="3"/>
      <c r="U40" s="3"/>
      <c r="V40" s="3"/>
    </row>
    <row r="41" spans="1:25" ht="15.75">
      <c r="B41" s="12" t="s">
        <v>95</v>
      </c>
      <c r="R41" s="210"/>
      <c r="U41" s="181"/>
    </row>
    <row r="42" spans="1:25">
      <c r="R42" s="2"/>
      <c r="U42" s="181"/>
    </row>
    <row r="43" spans="1:25">
      <c r="R43" s="2"/>
      <c r="U43" s="181"/>
    </row>
    <row r="44" spans="1:25">
      <c r="R44" s="2"/>
      <c r="U44" s="181"/>
    </row>
    <row r="45" spans="1:25" ht="15">
      <c r="H45" s="384">
        <f>J35/N35</f>
        <v>7.3700000000000002E-2</v>
      </c>
      <c r="R45" s="2"/>
      <c r="U45" s="181"/>
    </row>
    <row r="46" spans="1:25" ht="15">
      <c r="H46" s="384">
        <f>K35/O35</f>
        <v>3.3099999999999997E-2</v>
      </c>
      <c r="R46" s="2"/>
      <c r="U46" s="181"/>
    </row>
    <row r="47" spans="1:25" ht="15">
      <c r="H47" s="384">
        <f>L35/P35</f>
        <v>6.6299999999999998E-2</v>
      </c>
      <c r="R47" s="2"/>
      <c r="U47" s="181"/>
    </row>
    <row r="48" spans="1:25">
      <c r="R48" s="2"/>
      <c r="U48" s="181"/>
    </row>
  </sheetData>
  <mergeCells count="26">
    <mergeCell ref="X7:X12"/>
    <mergeCell ref="P7:P12"/>
    <mergeCell ref="Q7:Q12"/>
    <mergeCell ref="R7:R12"/>
    <mergeCell ref="S7:S12"/>
    <mergeCell ref="J7:J12"/>
    <mergeCell ref="K7:K12"/>
    <mergeCell ref="T7:T12"/>
    <mergeCell ref="U7:U12"/>
    <mergeCell ref="W7:W12"/>
    <mergeCell ref="C2:S2"/>
    <mergeCell ref="C3:S3"/>
    <mergeCell ref="G5:M5"/>
    <mergeCell ref="A7:A12"/>
    <mergeCell ref="B7:B12"/>
    <mergeCell ref="C7:C12"/>
    <mergeCell ref="D7:D12"/>
    <mergeCell ref="E7:E12"/>
    <mergeCell ref="F7:F12"/>
    <mergeCell ref="G7:G12"/>
    <mergeCell ref="L7:L12"/>
    <mergeCell ref="M7:M12"/>
    <mergeCell ref="N7:N12"/>
    <mergeCell ref="O7:O12"/>
    <mergeCell ref="H7:H12"/>
    <mergeCell ref="I7:I12"/>
  </mergeCells>
  <phoneticPr fontId="2" type="noConversion"/>
  <pageMargins left="0.75" right="0.75" top="1" bottom="1" header="0.5" footer="0.5"/>
  <pageSetup paperSize="9" scale="44" orientation="landscape" r:id="rId1"/>
  <headerFooter alignWithMargins="0"/>
  <colBreaks count="1" manualBreakCount="1">
    <brk id="2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10"/>
  </sheetPr>
  <dimension ref="A2:AC48"/>
  <sheetViews>
    <sheetView view="pageBreakPreview" topLeftCell="A4" zoomScale="60" zoomScaleNormal="75" workbookViewId="0">
      <selection activeCell="E14" sqref="E14"/>
    </sheetView>
  </sheetViews>
  <sheetFormatPr defaultRowHeight="12.75"/>
  <cols>
    <col min="1" max="1" width="4.42578125" style="181" customWidth="1"/>
    <col min="2" max="2" width="41.140625" style="181" customWidth="1"/>
    <col min="3" max="3" width="12.85546875" style="2" customWidth="1"/>
    <col min="4" max="4" width="12.140625" style="181" customWidth="1"/>
    <col min="5" max="5" width="14.5703125" style="181" customWidth="1"/>
    <col min="6" max="6" width="11.5703125" style="181" customWidth="1"/>
    <col min="7" max="7" width="15.42578125" style="181" customWidth="1"/>
    <col min="8" max="8" width="11.140625" style="186" customWidth="1"/>
    <col min="9" max="9" width="10.140625" style="2" customWidth="1"/>
    <col min="10" max="12" width="12.85546875" style="2" customWidth="1"/>
    <col min="13" max="13" width="15.5703125" style="2" customWidth="1"/>
    <col min="14" max="14" width="12.140625" style="181" customWidth="1"/>
    <col min="15" max="15" width="13.140625" style="181" customWidth="1"/>
    <col min="16" max="16" width="11.5703125" style="181" customWidth="1"/>
    <col min="17" max="17" width="19.42578125" style="2" customWidth="1"/>
    <col min="18" max="18" width="11.5703125" style="181" customWidth="1"/>
    <col min="19" max="19" width="11.28515625" style="181" customWidth="1"/>
    <col min="20" max="20" width="12.140625" style="181" customWidth="1"/>
    <col min="21" max="21" width="19.5703125" style="2" customWidth="1"/>
    <col min="22" max="22" width="12.42578125" style="181" customWidth="1"/>
    <col min="23" max="23" width="11.42578125" style="181" customWidth="1"/>
    <col min="24" max="24" width="11.7109375" style="181" customWidth="1"/>
    <col min="25" max="25" width="15.5703125" style="2" customWidth="1"/>
    <col min="26" max="26" width="12.28515625" style="181" customWidth="1"/>
    <col min="27" max="27" width="10.85546875" style="181" customWidth="1"/>
    <col min="28" max="28" width="11.140625" style="181" customWidth="1"/>
    <col min="29" max="16384" width="9.140625" style="181"/>
  </cols>
  <sheetData>
    <row r="2" spans="1:29" ht="18">
      <c r="C2" s="528" t="s">
        <v>311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1:29" ht="18">
      <c r="C3" s="528" t="s">
        <v>98</v>
      </c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</row>
    <row r="4" spans="1:29" ht="21" customHeight="1">
      <c r="J4" s="3" t="s">
        <v>312</v>
      </c>
      <c r="K4" s="65"/>
      <c r="L4" s="65"/>
      <c r="M4" s="64"/>
      <c r="N4" s="62">
        <f>'[3]Вхідні дані'!E32</f>
        <v>31</v>
      </c>
      <c r="O4" s="3" t="s">
        <v>313</v>
      </c>
    </row>
    <row r="5" spans="1:29" ht="15.75">
      <c r="A5" s="54"/>
      <c r="B5" s="54"/>
      <c r="C5" s="54"/>
      <c r="D5" s="54"/>
      <c r="E5" s="54"/>
      <c r="F5" s="54"/>
      <c r="G5" s="547" t="s">
        <v>314</v>
      </c>
      <c r="H5" s="547"/>
      <c r="I5" s="547"/>
      <c r="J5" s="547"/>
      <c r="K5" s="547"/>
      <c r="L5" s="547"/>
      <c r="M5" s="547"/>
      <c r="N5" s="62">
        <v>24</v>
      </c>
      <c r="O5" s="63" t="s">
        <v>313</v>
      </c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9" ht="13.5" thickBot="1"/>
    <row r="7" spans="1:29" s="3" customFormat="1" ht="15" customHeight="1">
      <c r="A7" s="508" t="s">
        <v>179</v>
      </c>
      <c r="B7" s="508" t="s">
        <v>235</v>
      </c>
      <c r="C7" s="508" t="s">
        <v>307</v>
      </c>
      <c r="D7" s="548" t="s">
        <v>284</v>
      </c>
      <c r="E7" s="548" t="s">
        <v>285</v>
      </c>
      <c r="F7" s="548" t="s">
        <v>286</v>
      </c>
      <c r="G7" s="551" t="s">
        <v>315</v>
      </c>
      <c r="H7" s="558" t="s">
        <v>316</v>
      </c>
      <c r="I7" s="556" t="s">
        <v>304</v>
      </c>
      <c r="J7" s="554" t="s">
        <v>284</v>
      </c>
      <c r="K7" s="554" t="s">
        <v>285</v>
      </c>
      <c r="L7" s="554" t="s">
        <v>286</v>
      </c>
      <c r="M7" s="556" t="s">
        <v>310</v>
      </c>
      <c r="N7" s="554" t="s">
        <v>284</v>
      </c>
      <c r="O7" s="554" t="s">
        <v>285</v>
      </c>
      <c r="P7" s="554" t="s">
        <v>286</v>
      </c>
      <c r="Q7" s="556" t="s">
        <v>305</v>
      </c>
      <c r="R7" s="556" t="s">
        <v>306</v>
      </c>
      <c r="S7" s="554" t="s">
        <v>284</v>
      </c>
      <c r="T7" s="554" t="s">
        <v>285</v>
      </c>
      <c r="U7" s="554" t="s">
        <v>286</v>
      </c>
      <c r="W7" s="554" t="s">
        <v>285</v>
      </c>
      <c r="X7" s="554" t="s">
        <v>286</v>
      </c>
      <c r="Y7" s="556" t="s">
        <v>306</v>
      </c>
      <c r="Z7" s="554" t="s">
        <v>284</v>
      </c>
      <c r="AA7" s="554" t="s">
        <v>285</v>
      </c>
      <c r="AB7" s="554" t="s">
        <v>286</v>
      </c>
    </row>
    <row r="8" spans="1:29" s="3" customFormat="1" ht="13.5" customHeight="1">
      <c r="A8" s="509"/>
      <c r="B8" s="509"/>
      <c r="C8" s="509"/>
      <c r="D8" s="549"/>
      <c r="E8" s="549"/>
      <c r="F8" s="549"/>
      <c r="G8" s="552"/>
      <c r="H8" s="559"/>
      <c r="I8" s="557"/>
      <c r="J8" s="555"/>
      <c r="K8" s="555"/>
      <c r="L8" s="555"/>
      <c r="M8" s="557"/>
      <c r="N8" s="555"/>
      <c r="O8" s="555"/>
      <c r="P8" s="555"/>
      <c r="Q8" s="557"/>
      <c r="R8" s="557"/>
      <c r="S8" s="555"/>
      <c r="T8" s="555"/>
      <c r="U8" s="555"/>
      <c r="W8" s="555"/>
      <c r="X8" s="555"/>
      <c r="Y8" s="557"/>
      <c r="Z8" s="555"/>
      <c r="AA8" s="555"/>
      <c r="AB8" s="555"/>
    </row>
    <row r="9" spans="1:29" s="3" customFormat="1" ht="15" customHeight="1">
      <c r="A9" s="509"/>
      <c r="B9" s="509"/>
      <c r="C9" s="509"/>
      <c r="D9" s="549"/>
      <c r="E9" s="549"/>
      <c r="F9" s="549"/>
      <c r="G9" s="552"/>
      <c r="H9" s="559"/>
      <c r="I9" s="557"/>
      <c r="J9" s="555"/>
      <c r="K9" s="555"/>
      <c r="L9" s="555"/>
      <c r="M9" s="557"/>
      <c r="N9" s="555"/>
      <c r="O9" s="555"/>
      <c r="P9" s="555"/>
      <c r="Q9" s="557"/>
      <c r="R9" s="557"/>
      <c r="S9" s="555"/>
      <c r="T9" s="555"/>
      <c r="U9" s="555"/>
      <c r="W9" s="555"/>
      <c r="X9" s="555"/>
      <c r="Y9" s="557"/>
      <c r="Z9" s="555"/>
      <c r="AA9" s="555"/>
      <c r="AB9" s="555"/>
    </row>
    <row r="10" spans="1:29" s="3" customFormat="1" ht="15" customHeight="1">
      <c r="A10" s="509"/>
      <c r="B10" s="509"/>
      <c r="C10" s="509"/>
      <c r="D10" s="549"/>
      <c r="E10" s="549"/>
      <c r="F10" s="549"/>
      <c r="G10" s="552"/>
      <c r="H10" s="559"/>
      <c r="I10" s="557"/>
      <c r="J10" s="555"/>
      <c r="K10" s="555"/>
      <c r="L10" s="555"/>
      <c r="M10" s="557"/>
      <c r="N10" s="555"/>
      <c r="O10" s="555"/>
      <c r="P10" s="555"/>
      <c r="Q10" s="557"/>
      <c r="R10" s="557"/>
      <c r="S10" s="555"/>
      <c r="T10" s="555"/>
      <c r="U10" s="555"/>
      <c r="W10" s="555"/>
      <c r="X10" s="555"/>
      <c r="Y10" s="557"/>
      <c r="Z10" s="555"/>
      <c r="AA10" s="555"/>
      <c r="AB10" s="555"/>
    </row>
    <row r="11" spans="1:29" s="3" customFormat="1" ht="12.75" customHeight="1">
      <c r="A11" s="509"/>
      <c r="B11" s="509"/>
      <c r="C11" s="509"/>
      <c r="D11" s="549"/>
      <c r="E11" s="549"/>
      <c r="F11" s="549"/>
      <c r="G11" s="552"/>
      <c r="H11" s="559"/>
      <c r="I11" s="557"/>
      <c r="J11" s="555"/>
      <c r="K11" s="555"/>
      <c r="L11" s="555"/>
      <c r="M11" s="557"/>
      <c r="N11" s="555"/>
      <c r="O11" s="555"/>
      <c r="P11" s="555"/>
      <c r="Q11" s="557"/>
      <c r="R11" s="557"/>
      <c r="S11" s="555"/>
      <c r="T11" s="555"/>
      <c r="U11" s="555"/>
      <c r="W11" s="555"/>
      <c r="X11" s="555"/>
      <c r="Y11" s="557"/>
      <c r="Z11" s="555"/>
      <c r="AA11" s="555"/>
      <c r="AB11" s="555"/>
    </row>
    <row r="12" spans="1:29" s="3" customFormat="1" ht="15.75" customHeight="1" thickBot="1">
      <c r="A12" s="510"/>
      <c r="B12" s="510"/>
      <c r="C12" s="510"/>
      <c r="D12" s="550"/>
      <c r="E12" s="550"/>
      <c r="F12" s="550"/>
      <c r="G12" s="553"/>
      <c r="H12" s="559"/>
      <c r="I12" s="557"/>
      <c r="J12" s="555"/>
      <c r="K12" s="555"/>
      <c r="L12" s="555"/>
      <c r="M12" s="557"/>
      <c r="N12" s="555"/>
      <c r="O12" s="555"/>
      <c r="P12" s="555"/>
      <c r="Q12" s="557"/>
      <c r="R12" s="557"/>
      <c r="S12" s="555"/>
      <c r="T12" s="555"/>
      <c r="U12" s="555"/>
      <c r="W12" s="555"/>
      <c r="X12" s="555"/>
      <c r="Y12" s="557"/>
      <c r="Z12" s="555"/>
      <c r="AA12" s="555"/>
      <c r="AB12" s="555"/>
    </row>
    <row r="13" spans="1:29" s="3" customFormat="1" ht="16.5" thickBo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21</v>
      </c>
      <c r="R13" s="52">
        <v>25</v>
      </c>
      <c r="S13" s="6">
        <v>26</v>
      </c>
      <c r="T13" s="6">
        <v>27</v>
      </c>
      <c r="U13" s="6">
        <v>28</v>
      </c>
      <c r="W13" s="6">
        <v>23</v>
      </c>
      <c r="X13" s="6">
        <v>24</v>
      </c>
      <c r="Y13" s="52">
        <v>25</v>
      </c>
      <c r="Z13" s="6">
        <v>26</v>
      </c>
      <c r="AA13" s="6">
        <v>27</v>
      </c>
      <c r="AB13" s="6">
        <v>28</v>
      </c>
    </row>
    <row r="14" spans="1:29" s="3" customFormat="1" ht="15.75">
      <c r="A14" s="16">
        <v>1</v>
      </c>
      <c r="B14" s="17" t="s">
        <v>216</v>
      </c>
      <c r="C14" s="92">
        <f>D14+E14+F14</f>
        <v>40.570999999999998</v>
      </c>
      <c r="D14" s="20">
        <f>'[3]Річна потреба ТЕ на опалення'!Q13</f>
        <v>0</v>
      </c>
      <c r="E14" s="20">
        <f>'[3]Річна потреба ТЕ на опалення'!AJ13</f>
        <v>40.570999999999998</v>
      </c>
      <c r="F14" s="20">
        <f>'[3]Річна потреба ТЕ на опалення'!S13</f>
        <v>0</v>
      </c>
      <c r="G14" s="20">
        <v>60</v>
      </c>
      <c r="H14" s="23">
        <v>6.0000000000000001E-3</v>
      </c>
      <c r="I14" s="66">
        <f>M14-C14</f>
        <v>0.245</v>
      </c>
      <c r="J14" s="23">
        <f>N14-D14</f>
        <v>0</v>
      </c>
      <c r="K14" s="23">
        <f>O14-E14</f>
        <v>0.245</v>
      </c>
      <c r="L14" s="23">
        <f>P14-F14</f>
        <v>0</v>
      </c>
      <c r="M14" s="66">
        <f>C14/(100%-$H$14)</f>
        <v>40.816000000000003</v>
      </c>
      <c r="N14" s="23">
        <f>D14/(100%-H14)</f>
        <v>0</v>
      </c>
      <c r="O14" s="23">
        <f>E14/(100%-H14)</f>
        <v>40.816000000000003</v>
      </c>
      <c r="P14" s="23">
        <f>F14/(100%-H14)</f>
        <v>0</v>
      </c>
      <c r="Q14" s="66">
        <f t="shared" ref="Q14:Q34" si="0">R14-M14</f>
        <v>0.91800000000000004</v>
      </c>
      <c r="R14" s="66">
        <f>(C14+I14)/(100%-2.2%)</f>
        <v>41.734000000000002</v>
      </c>
      <c r="S14" s="23">
        <f>(D14+J14)/(100%-2.2%)</f>
        <v>0</v>
      </c>
      <c r="T14" s="23">
        <f>(E14+K14)/(100%-2.2%)</f>
        <v>41.734000000000002</v>
      </c>
      <c r="U14" s="23">
        <f>(F14+L14)/(100%-2.2%)</f>
        <v>0</v>
      </c>
      <c r="V14" s="33">
        <f>R14-S14-T14-U14</f>
        <v>0</v>
      </c>
      <c r="W14" s="23"/>
      <c r="X14" s="23"/>
      <c r="Y14" s="66">
        <f>(C14+I14+Q14)/(100%-2.2%)</f>
        <v>42.673000000000002</v>
      </c>
      <c r="Z14" s="23">
        <f>(D14+J14+R14)/(100%-2.2%)</f>
        <v>42.673000000000002</v>
      </c>
      <c r="AA14" s="23">
        <f t="shared" ref="AA14:AB25" si="1">(E14+K14+S14)/(100%-2.2%)</f>
        <v>41.734000000000002</v>
      </c>
      <c r="AB14" s="23">
        <f t="shared" si="1"/>
        <v>42.673000000000002</v>
      </c>
      <c r="AC14" s="33">
        <f>Y14-Z14-AA14-AB14</f>
        <v>-84.41</v>
      </c>
    </row>
    <row r="15" spans="1:29" s="3" customFormat="1" ht="15.75">
      <c r="A15" s="16">
        <v>2</v>
      </c>
      <c r="B15" s="21" t="s">
        <v>189</v>
      </c>
      <c r="C15" s="92">
        <f t="shared" ref="C15:C34" si="2">D15+E15+F15</f>
        <v>22.488</v>
      </c>
      <c r="D15" s="20">
        <f>'[3]Річна потреба ТЕ на опалення'!Q14</f>
        <v>0</v>
      </c>
      <c r="E15" s="20">
        <f>'[3]Річна потреба ТЕ на опалення'!AJ14+'[3]Річна потреба ТЕ на опалення'!AJ15</f>
        <v>22.488</v>
      </c>
      <c r="F15" s="20">
        <f>'[3]Річна потреба ТЕ на опалення'!S14</f>
        <v>0</v>
      </c>
      <c r="G15" s="23"/>
      <c r="H15" s="23"/>
      <c r="I15" s="66">
        <f t="shared" ref="I15:L34" si="3">M15-C15</f>
        <v>0</v>
      </c>
      <c r="J15" s="23">
        <f t="shared" si="3"/>
        <v>0</v>
      </c>
      <c r="K15" s="23">
        <f t="shared" si="3"/>
        <v>0</v>
      </c>
      <c r="L15" s="23">
        <f t="shared" si="3"/>
        <v>0</v>
      </c>
      <c r="M15" s="66">
        <f t="shared" ref="M15:M34" si="4">C15/(100%-H15)</f>
        <v>22.488</v>
      </c>
      <c r="N15" s="23">
        <f t="shared" ref="N15:N34" si="5">D15/(100%-H15)</f>
        <v>0</v>
      </c>
      <c r="O15" s="23">
        <f t="shared" ref="O15:O34" si="6">E15/(100%-H15)</f>
        <v>22.488</v>
      </c>
      <c r="P15" s="23">
        <f t="shared" ref="P15:P34" si="7">F15/(100%-H15)</f>
        <v>0</v>
      </c>
      <c r="Q15" s="66">
        <f t="shared" si="0"/>
        <v>0.50600000000000001</v>
      </c>
      <c r="R15" s="66">
        <f t="shared" ref="R15:U34" si="8">(C15+I15)/(100%-2.2%)</f>
        <v>22.994</v>
      </c>
      <c r="S15" s="23">
        <f t="shared" si="8"/>
        <v>0</v>
      </c>
      <c r="T15" s="23">
        <f t="shared" si="8"/>
        <v>22.994</v>
      </c>
      <c r="U15" s="23">
        <f t="shared" si="8"/>
        <v>0</v>
      </c>
      <c r="V15" s="33">
        <f t="shared" ref="V15:V35" si="9">R15-S15-T15-U15</f>
        <v>0</v>
      </c>
      <c r="W15" s="23"/>
      <c r="X15" s="23"/>
      <c r="Y15" s="66">
        <f t="shared" ref="Y15:AB33" si="10">(C15+I15+Q15)/(100%-2.2%)</f>
        <v>23.510999999999999</v>
      </c>
      <c r="Z15" s="23">
        <f t="shared" si="10"/>
        <v>23.510999999999999</v>
      </c>
      <c r="AA15" s="23">
        <f t="shared" si="1"/>
        <v>22.994</v>
      </c>
      <c r="AB15" s="23">
        <f t="shared" si="1"/>
        <v>23.510999999999999</v>
      </c>
      <c r="AC15" s="33">
        <f t="shared" ref="AC15:AC34" si="11">Y15-Z15-AA15-AB15</f>
        <v>-46.51</v>
      </c>
    </row>
    <row r="16" spans="1:29" s="3" customFormat="1" ht="15.75">
      <c r="A16" s="22">
        <v>3</v>
      </c>
      <c r="B16" s="21" t="s">
        <v>217</v>
      </c>
      <c r="C16" s="92">
        <f t="shared" si="2"/>
        <v>53.68</v>
      </c>
      <c r="D16" s="20">
        <f>'[3]Річна потреба ТЕ на опалення'!Q15</f>
        <v>0</v>
      </c>
      <c r="E16" s="20">
        <f>'[3]Річна потреба ТЕ на опалення'!AJ16</f>
        <v>53.68</v>
      </c>
      <c r="F16" s="20">
        <f>'[3]Річна потреба ТЕ на опалення'!S15</f>
        <v>0</v>
      </c>
      <c r="G16" s="93">
        <v>42</v>
      </c>
      <c r="H16" s="93">
        <v>4.0000000000000001E-3</v>
      </c>
      <c r="I16" s="66">
        <f t="shared" si="3"/>
        <v>0.216</v>
      </c>
      <c r="J16" s="23">
        <f t="shared" si="3"/>
        <v>0</v>
      </c>
      <c r="K16" s="23">
        <f t="shared" si="3"/>
        <v>0.216</v>
      </c>
      <c r="L16" s="23">
        <f t="shared" si="3"/>
        <v>0</v>
      </c>
      <c r="M16" s="66">
        <f t="shared" si="4"/>
        <v>53.896000000000001</v>
      </c>
      <c r="N16" s="23">
        <f t="shared" si="5"/>
        <v>0</v>
      </c>
      <c r="O16" s="23">
        <f t="shared" si="6"/>
        <v>53.896000000000001</v>
      </c>
      <c r="P16" s="23">
        <f t="shared" si="7"/>
        <v>0</v>
      </c>
      <c r="Q16" s="66">
        <f t="shared" si="0"/>
        <v>1.212</v>
      </c>
      <c r="R16" s="66">
        <f t="shared" si="8"/>
        <v>55.107999999999997</v>
      </c>
      <c r="S16" s="23">
        <f t="shared" si="8"/>
        <v>0</v>
      </c>
      <c r="T16" s="23">
        <f t="shared" si="8"/>
        <v>55.107999999999997</v>
      </c>
      <c r="U16" s="23">
        <f t="shared" si="8"/>
        <v>0</v>
      </c>
      <c r="V16" s="33">
        <f t="shared" si="9"/>
        <v>0</v>
      </c>
      <c r="W16" s="23"/>
      <c r="X16" s="23"/>
      <c r="Y16" s="66">
        <f t="shared" si="10"/>
        <v>56.347999999999999</v>
      </c>
      <c r="Z16" s="23">
        <f t="shared" si="10"/>
        <v>56.347999999999999</v>
      </c>
      <c r="AA16" s="23">
        <f t="shared" si="1"/>
        <v>55.107999999999997</v>
      </c>
      <c r="AB16" s="23">
        <f t="shared" si="1"/>
        <v>56.347999999999999</v>
      </c>
      <c r="AC16" s="33">
        <f t="shared" si="11"/>
        <v>-111.46</v>
      </c>
    </row>
    <row r="17" spans="1:29" s="3" customFormat="1" ht="15.75">
      <c r="A17" s="72">
        <v>4</v>
      </c>
      <c r="B17" s="76" t="s">
        <v>218</v>
      </c>
      <c r="C17" s="94">
        <f t="shared" si="2"/>
        <v>12.695</v>
      </c>
      <c r="D17" s="20">
        <f>'[3]Річна потреба ТЕ на опалення'!T17</f>
        <v>0</v>
      </c>
      <c r="E17" s="20">
        <f>'[3]Річна потреба ТЕ на опалення'!U17</f>
        <v>0</v>
      </c>
      <c r="F17" s="20">
        <f>'[3]Річна потреба ТЕ на опалення'!AK17</f>
        <v>12.695</v>
      </c>
      <c r="G17" s="96">
        <f>0.02*1000</f>
        <v>20</v>
      </c>
      <c r="H17" s="205">
        <f>G17/100*1%</f>
        <v>2E-3</v>
      </c>
      <c r="I17" s="97">
        <f t="shared" si="3"/>
        <v>2.5000000000000001E-2</v>
      </c>
      <c r="J17" s="96">
        <f t="shared" si="3"/>
        <v>0</v>
      </c>
      <c r="K17" s="96">
        <f t="shared" si="3"/>
        <v>0</v>
      </c>
      <c r="L17" s="96">
        <f>P17-F17</f>
        <v>2.5000000000000001E-2</v>
      </c>
      <c r="M17" s="97">
        <f t="shared" si="4"/>
        <v>12.72</v>
      </c>
      <c r="N17" s="96">
        <f t="shared" si="5"/>
        <v>0</v>
      </c>
      <c r="O17" s="96">
        <f t="shared" si="6"/>
        <v>0</v>
      </c>
      <c r="P17" s="96">
        <f t="shared" si="7"/>
        <v>12.72</v>
      </c>
      <c r="Q17" s="66">
        <f t="shared" si="0"/>
        <v>0.28599999999999998</v>
      </c>
      <c r="R17" s="66">
        <f t="shared" si="8"/>
        <v>13.006</v>
      </c>
      <c r="S17" s="23">
        <f t="shared" si="8"/>
        <v>0</v>
      </c>
      <c r="T17" s="23">
        <f t="shared" si="8"/>
        <v>0</v>
      </c>
      <c r="U17" s="23">
        <f t="shared" si="8"/>
        <v>13.006</v>
      </c>
      <c r="V17" s="33">
        <f t="shared" si="9"/>
        <v>0</v>
      </c>
      <c r="W17" s="96"/>
      <c r="X17" s="96"/>
      <c r="Y17" s="97">
        <f t="shared" si="10"/>
        <v>13.298999999999999</v>
      </c>
      <c r="Z17" s="96">
        <f t="shared" si="10"/>
        <v>13.298999999999999</v>
      </c>
      <c r="AA17" s="96">
        <f t="shared" si="1"/>
        <v>0</v>
      </c>
      <c r="AB17" s="96">
        <f t="shared" si="1"/>
        <v>13.006</v>
      </c>
      <c r="AC17" s="33">
        <f t="shared" si="11"/>
        <v>-13.01</v>
      </c>
    </row>
    <row r="18" spans="1:29" s="3" customFormat="1" ht="15.75">
      <c r="A18" s="22">
        <v>5</v>
      </c>
      <c r="B18" s="21" t="s">
        <v>359</v>
      </c>
      <c r="C18" s="92">
        <f t="shared" si="2"/>
        <v>67.462000000000003</v>
      </c>
      <c r="D18" s="20">
        <f>'[3]Річна потреба ТЕ на опалення'!Q17</f>
        <v>0</v>
      </c>
      <c r="E18" s="20">
        <f>'[3]Річна потреба ТЕ на опалення'!AJ18</f>
        <v>67.462000000000003</v>
      </c>
      <c r="F18" s="20">
        <v>0</v>
      </c>
      <c r="G18" s="93">
        <f>0.07*1000</f>
        <v>70</v>
      </c>
      <c r="H18" s="206">
        <f>G18/100*1%</f>
        <v>7.0000000000000001E-3</v>
      </c>
      <c r="I18" s="66">
        <f t="shared" si="3"/>
        <v>0.47599999999999998</v>
      </c>
      <c r="J18" s="23">
        <f t="shared" si="3"/>
        <v>0</v>
      </c>
      <c r="K18" s="23">
        <f t="shared" si="3"/>
        <v>0.47599999999999998</v>
      </c>
      <c r="L18" s="23">
        <f t="shared" si="3"/>
        <v>0</v>
      </c>
      <c r="M18" s="66">
        <f t="shared" si="4"/>
        <v>67.938000000000002</v>
      </c>
      <c r="N18" s="23">
        <f t="shared" si="5"/>
        <v>0</v>
      </c>
      <c r="O18" s="23">
        <f t="shared" si="6"/>
        <v>67.938000000000002</v>
      </c>
      <c r="P18" s="23">
        <f t="shared" si="7"/>
        <v>0</v>
      </c>
      <c r="Q18" s="66">
        <f t="shared" si="0"/>
        <v>1.528</v>
      </c>
      <c r="R18" s="66">
        <f t="shared" si="8"/>
        <v>69.465999999999994</v>
      </c>
      <c r="S18" s="23">
        <f t="shared" si="8"/>
        <v>0</v>
      </c>
      <c r="T18" s="23">
        <f t="shared" si="8"/>
        <v>69.465999999999994</v>
      </c>
      <c r="U18" s="23">
        <f t="shared" si="8"/>
        <v>0</v>
      </c>
      <c r="V18" s="33">
        <f t="shared" si="9"/>
        <v>0</v>
      </c>
      <c r="W18" s="23"/>
      <c r="X18" s="23"/>
      <c r="Y18" s="66">
        <f t="shared" si="10"/>
        <v>71.028999999999996</v>
      </c>
      <c r="Z18" s="23">
        <f t="shared" si="10"/>
        <v>71.028999999999996</v>
      </c>
      <c r="AA18" s="23">
        <f t="shared" si="1"/>
        <v>69.465999999999994</v>
      </c>
      <c r="AB18" s="23">
        <f t="shared" si="1"/>
        <v>71.028999999999996</v>
      </c>
      <c r="AC18" s="33">
        <f t="shared" si="11"/>
        <v>-140.5</v>
      </c>
    </row>
    <row r="19" spans="1:29" s="3" customFormat="1" ht="15.75">
      <c r="A19" s="22">
        <v>6</v>
      </c>
      <c r="B19" s="21" t="s">
        <v>190</v>
      </c>
      <c r="C19" s="92">
        <f t="shared" si="2"/>
        <v>29.015999999999998</v>
      </c>
      <c r="D19" s="20">
        <f>'[3]Річна потреба ТЕ на опалення'!Q18</f>
        <v>0</v>
      </c>
      <c r="E19" s="20">
        <f>'[3]Річна потреба ТЕ на опалення'!AJ19</f>
        <v>29.015999999999998</v>
      </c>
      <c r="F19" s="20">
        <f>'[3]Річна потреба ТЕ на опалення'!S18</f>
        <v>0</v>
      </c>
      <c r="G19" s="93">
        <v>23</v>
      </c>
      <c r="H19" s="206">
        <v>2.3E-3</v>
      </c>
      <c r="I19" s="66">
        <f t="shared" si="3"/>
        <v>6.7000000000000004E-2</v>
      </c>
      <c r="J19" s="23">
        <f t="shared" si="3"/>
        <v>0</v>
      </c>
      <c r="K19" s="23">
        <f t="shared" si="3"/>
        <v>6.7000000000000004E-2</v>
      </c>
      <c r="L19" s="23">
        <f t="shared" si="3"/>
        <v>0</v>
      </c>
      <c r="M19" s="66">
        <f t="shared" si="4"/>
        <v>29.082999999999998</v>
      </c>
      <c r="N19" s="23">
        <f t="shared" si="5"/>
        <v>0</v>
      </c>
      <c r="O19" s="23">
        <f t="shared" si="6"/>
        <v>29.082999999999998</v>
      </c>
      <c r="P19" s="23">
        <f t="shared" si="7"/>
        <v>0</v>
      </c>
      <c r="Q19" s="66">
        <f t="shared" si="0"/>
        <v>0.65400000000000003</v>
      </c>
      <c r="R19" s="66">
        <f t="shared" si="8"/>
        <v>29.736999999999998</v>
      </c>
      <c r="S19" s="23">
        <f t="shared" si="8"/>
        <v>0</v>
      </c>
      <c r="T19" s="23">
        <f t="shared" si="8"/>
        <v>29.736999999999998</v>
      </c>
      <c r="U19" s="23">
        <f t="shared" si="8"/>
        <v>0</v>
      </c>
      <c r="V19" s="33">
        <f t="shared" si="9"/>
        <v>0</v>
      </c>
      <c r="W19" s="23"/>
      <c r="X19" s="23"/>
      <c r="Y19" s="66">
        <f t="shared" si="10"/>
        <v>30.405999999999999</v>
      </c>
      <c r="Z19" s="23">
        <f t="shared" si="10"/>
        <v>30.405999999999999</v>
      </c>
      <c r="AA19" s="23">
        <f t="shared" si="1"/>
        <v>29.736999999999998</v>
      </c>
      <c r="AB19" s="23">
        <f t="shared" si="1"/>
        <v>30.405999999999999</v>
      </c>
      <c r="AC19" s="33">
        <f t="shared" si="11"/>
        <v>-60.14</v>
      </c>
    </row>
    <row r="20" spans="1:29" s="3" customFormat="1" ht="15.75">
      <c r="A20" s="22">
        <v>7</v>
      </c>
      <c r="B20" s="21" t="s">
        <v>360</v>
      </c>
      <c r="C20" s="92">
        <f t="shared" si="2"/>
        <v>40.369</v>
      </c>
      <c r="D20" s="20">
        <f>'[3]Річна потреба ТЕ на опалення'!Q19</f>
        <v>0</v>
      </c>
      <c r="E20" s="20">
        <f>'[3]Річна потреба ТЕ на опалення'!AJ23</f>
        <v>40.369</v>
      </c>
      <c r="F20" s="20">
        <f>'[3]Річна потреба ТЕ на опалення'!S19</f>
        <v>0</v>
      </c>
      <c r="G20" s="23">
        <v>225.5</v>
      </c>
      <c r="H20" s="207">
        <v>2.2599999999999999E-2</v>
      </c>
      <c r="I20" s="66">
        <f t="shared" si="3"/>
        <v>0.93300000000000005</v>
      </c>
      <c r="J20" s="23">
        <f t="shared" si="3"/>
        <v>0</v>
      </c>
      <c r="K20" s="23">
        <f t="shared" si="3"/>
        <v>0.93300000000000005</v>
      </c>
      <c r="L20" s="23">
        <f t="shared" si="3"/>
        <v>0</v>
      </c>
      <c r="M20" s="66">
        <f t="shared" si="4"/>
        <v>41.302</v>
      </c>
      <c r="N20" s="23">
        <f t="shared" si="5"/>
        <v>0</v>
      </c>
      <c r="O20" s="23">
        <f t="shared" si="6"/>
        <v>41.302</v>
      </c>
      <c r="P20" s="23">
        <f t="shared" si="7"/>
        <v>0</v>
      </c>
      <c r="Q20" s="66">
        <f t="shared" si="0"/>
        <v>0.92900000000000005</v>
      </c>
      <c r="R20" s="66">
        <f t="shared" si="8"/>
        <v>42.231000000000002</v>
      </c>
      <c r="S20" s="23">
        <f t="shared" si="8"/>
        <v>0</v>
      </c>
      <c r="T20" s="23">
        <f t="shared" si="8"/>
        <v>42.231000000000002</v>
      </c>
      <c r="U20" s="23">
        <f t="shared" si="8"/>
        <v>0</v>
      </c>
      <c r="V20" s="33"/>
      <c r="W20" s="23"/>
      <c r="X20" s="23"/>
      <c r="Y20" s="66">
        <f t="shared" si="10"/>
        <v>43.180999999999997</v>
      </c>
      <c r="Z20" s="23">
        <f t="shared" si="10"/>
        <v>43.180999999999997</v>
      </c>
      <c r="AA20" s="23">
        <f t="shared" si="1"/>
        <v>42.231000000000002</v>
      </c>
      <c r="AB20" s="23">
        <f t="shared" si="1"/>
        <v>43.180999999999997</v>
      </c>
      <c r="AC20" s="33"/>
    </row>
    <row r="21" spans="1:29" s="3" customFormat="1" ht="15.75">
      <c r="A21" s="22">
        <v>8</v>
      </c>
      <c r="B21" s="21" t="s">
        <v>168</v>
      </c>
      <c r="C21" s="92">
        <f t="shared" si="2"/>
        <v>36.994999999999997</v>
      </c>
      <c r="D21" s="20">
        <f>'[3]Річна потреба ТЕ на опалення'!Q20</f>
        <v>0</v>
      </c>
      <c r="E21" s="20">
        <f>'[3]Річна потреба ТЕ на опалення'!AJ24</f>
        <v>36.994999999999997</v>
      </c>
      <c r="F21" s="20">
        <f>'[3]Річна потреба ТЕ на опалення'!S20</f>
        <v>0</v>
      </c>
      <c r="G21" s="20"/>
      <c r="H21" s="207"/>
      <c r="I21" s="66">
        <f t="shared" si="3"/>
        <v>0</v>
      </c>
      <c r="J21" s="23">
        <f t="shared" si="3"/>
        <v>0</v>
      </c>
      <c r="K21" s="23">
        <f t="shared" si="3"/>
        <v>0</v>
      </c>
      <c r="L21" s="23">
        <f t="shared" si="3"/>
        <v>0</v>
      </c>
      <c r="M21" s="66">
        <f t="shared" si="4"/>
        <v>36.994999999999997</v>
      </c>
      <c r="N21" s="23">
        <f>D21/(100%-H21)</f>
        <v>0</v>
      </c>
      <c r="O21" s="23">
        <f>E21/(100%-H21)</f>
        <v>36.994999999999997</v>
      </c>
      <c r="P21" s="23">
        <f>F21/(100%-H21)</f>
        <v>0</v>
      </c>
      <c r="Q21" s="66">
        <f t="shared" si="0"/>
        <v>0.83199999999999996</v>
      </c>
      <c r="R21" s="66">
        <f t="shared" si="8"/>
        <v>37.826999999999998</v>
      </c>
      <c r="S21" s="23">
        <f t="shared" si="8"/>
        <v>0</v>
      </c>
      <c r="T21" s="23">
        <f t="shared" si="8"/>
        <v>37.826999999999998</v>
      </c>
      <c r="U21" s="23">
        <f t="shared" si="8"/>
        <v>0</v>
      </c>
      <c r="V21" s="33"/>
      <c r="W21" s="23"/>
      <c r="X21" s="23"/>
      <c r="Y21" s="66">
        <f t="shared" si="10"/>
        <v>38.677999999999997</v>
      </c>
      <c r="Z21" s="23">
        <f t="shared" si="10"/>
        <v>38.677999999999997</v>
      </c>
      <c r="AA21" s="23">
        <f t="shared" si="1"/>
        <v>37.826999999999998</v>
      </c>
      <c r="AB21" s="23">
        <f t="shared" si="1"/>
        <v>38.677999999999997</v>
      </c>
      <c r="AC21" s="33">
        <f t="shared" si="11"/>
        <v>-76.510000000000005</v>
      </c>
    </row>
    <row r="22" spans="1:29" s="3" customFormat="1" ht="15.75">
      <c r="A22" s="22">
        <v>9</v>
      </c>
      <c r="B22" s="21" t="s">
        <v>221</v>
      </c>
      <c r="C22" s="92">
        <f>D22+E22+F22</f>
        <v>2.5750000000000002</v>
      </c>
      <c r="D22" s="20">
        <f>'[3]Річна потреба ТЕ на опалення'!Q21</f>
        <v>0</v>
      </c>
      <c r="E22" s="20">
        <f>'[3]Річна потреба ТЕ на опалення'!AJ25</f>
        <v>2.5750000000000002</v>
      </c>
      <c r="F22" s="20">
        <f>'[3]Річна потреба ТЕ на опалення'!S21</f>
        <v>0</v>
      </c>
      <c r="G22" s="23"/>
      <c r="H22" s="207"/>
      <c r="I22" s="66">
        <f t="shared" si="3"/>
        <v>0</v>
      </c>
      <c r="J22" s="23">
        <f t="shared" si="3"/>
        <v>0</v>
      </c>
      <c r="K22" s="23">
        <f t="shared" si="3"/>
        <v>0</v>
      </c>
      <c r="L22" s="23">
        <f t="shared" si="3"/>
        <v>0</v>
      </c>
      <c r="M22" s="66">
        <f>C22/(100%-H22)</f>
        <v>2.5750000000000002</v>
      </c>
      <c r="N22" s="23">
        <f>D22/(100%-H22)</f>
        <v>0</v>
      </c>
      <c r="O22" s="23">
        <f>E22/(100%-H22)</f>
        <v>2.5750000000000002</v>
      </c>
      <c r="P22" s="23">
        <f>F22/(100%-H22)</f>
        <v>0</v>
      </c>
      <c r="Q22" s="66">
        <f t="shared" si="0"/>
        <v>5.8000000000000003E-2</v>
      </c>
      <c r="R22" s="66">
        <f t="shared" si="8"/>
        <v>2.633</v>
      </c>
      <c r="S22" s="23">
        <f t="shared" si="8"/>
        <v>0</v>
      </c>
      <c r="T22" s="23">
        <f t="shared" si="8"/>
        <v>2.633</v>
      </c>
      <c r="U22" s="23">
        <f t="shared" si="8"/>
        <v>0</v>
      </c>
      <c r="V22" s="33" t="e">
        <f>#REF!-#REF!-#REF!-#REF!</f>
        <v>#REF!</v>
      </c>
      <c r="W22" s="23"/>
      <c r="X22" s="23"/>
      <c r="Y22" s="66">
        <f t="shared" si="10"/>
        <v>2.6920000000000002</v>
      </c>
      <c r="Z22" s="23">
        <f t="shared" si="10"/>
        <v>2.6920000000000002</v>
      </c>
      <c r="AA22" s="23">
        <f t="shared" si="1"/>
        <v>2.633</v>
      </c>
      <c r="AB22" s="23">
        <f t="shared" si="1"/>
        <v>2.6920000000000002</v>
      </c>
      <c r="AC22" s="33">
        <f t="shared" si="11"/>
        <v>-5.33</v>
      </c>
    </row>
    <row r="23" spans="1:29" s="3" customFormat="1" ht="15.75">
      <c r="A23" s="22">
        <v>10</v>
      </c>
      <c r="B23" s="21" t="s">
        <v>222</v>
      </c>
      <c r="C23" s="98">
        <f>D23+E23+F23</f>
        <v>9.3209999999999997</v>
      </c>
      <c r="D23" s="20">
        <f>'[3]Річна потреба ТЕ на опалення'!Q22</f>
        <v>0</v>
      </c>
      <c r="E23" s="20">
        <f>'[3]Річна потреба ТЕ на опалення'!AJ26</f>
        <v>9.3209999999999997</v>
      </c>
      <c r="F23" s="20">
        <f>'[3]Річна потреба ТЕ на опалення'!S22</f>
        <v>0</v>
      </c>
      <c r="G23" s="30"/>
      <c r="H23" s="31"/>
      <c r="I23" s="99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99">
        <f>C23/(100%-H23)</f>
        <v>9.3209999999999997</v>
      </c>
      <c r="N23" s="30">
        <f>D23/(100%-H23)</f>
        <v>0</v>
      </c>
      <c r="O23" s="30">
        <f>E23/(100%-H23)</f>
        <v>9.3209999999999997</v>
      </c>
      <c r="P23" s="30">
        <f>F23/(100%-H23)</f>
        <v>0</v>
      </c>
      <c r="Q23" s="66">
        <f t="shared" si="0"/>
        <v>0.21</v>
      </c>
      <c r="R23" s="66">
        <f t="shared" si="8"/>
        <v>9.5310000000000006</v>
      </c>
      <c r="S23" s="23">
        <f t="shared" si="8"/>
        <v>0</v>
      </c>
      <c r="T23" s="23">
        <f t="shared" si="8"/>
        <v>9.5310000000000006</v>
      </c>
      <c r="U23" s="23">
        <f t="shared" si="8"/>
        <v>0</v>
      </c>
      <c r="V23" s="33">
        <f>R22-S22-T22-U22</f>
        <v>0</v>
      </c>
      <c r="W23" s="23"/>
      <c r="X23" s="23"/>
      <c r="Y23" s="66">
        <f t="shared" si="10"/>
        <v>9.7449999999999992</v>
      </c>
      <c r="Z23" s="23">
        <f t="shared" si="10"/>
        <v>9.7449999999999992</v>
      </c>
      <c r="AA23" s="23">
        <f t="shared" si="1"/>
        <v>9.5310000000000006</v>
      </c>
      <c r="AB23" s="23">
        <f t="shared" si="1"/>
        <v>9.7449999999999992</v>
      </c>
      <c r="AC23" s="33">
        <f t="shared" si="11"/>
        <v>-19.28</v>
      </c>
    </row>
    <row r="24" spans="1:29" s="3" customFormat="1" ht="15.75">
      <c r="A24" s="22">
        <v>11</v>
      </c>
      <c r="B24" s="21" t="s">
        <v>223</v>
      </c>
      <c r="C24" s="98">
        <f>D24+E24+F24</f>
        <v>98.292000000000002</v>
      </c>
      <c r="D24" s="20">
        <f>'[3]Річна потреба ТЕ на опалення'!Q23</f>
        <v>0</v>
      </c>
      <c r="E24" s="20">
        <f>'[3]Річна потреба ТЕ на опалення'!AJ27</f>
        <v>98.292000000000002</v>
      </c>
      <c r="F24" s="20">
        <f>'[3]Річна потреба ТЕ на опалення'!S23</f>
        <v>0</v>
      </c>
      <c r="G24" s="30"/>
      <c r="H24" s="31"/>
      <c r="I24" s="99">
        <f t="shared" si="3"/>
        <v>0</v>
      </c>
      <c r="J24" s="30">
        <f t="shared" si="3"/>
        <v>0</v>
      </c>
      <c r="K24" s="30">
        <f t="shared" si="3"/>
        <v>0</v>
      </c>
      <c r="L24" s="30">
        <f t="shared" si="3"/>
        <v>0</v>
      </c>
      <c r="M24" s="99">
        <f>C24/(100%-H24)</f>
        <v>98.292000000000002</v>
      </c>
      <c r="N24" s="30">
        <f>D24/(100%-H24)</f>
        <v>0</v>
      </c>
      <c r="O24" s="30">
        <f>E24/(100%-H24)</f>
        <v>98.292000000000002</v>
      </c>
      <c r="P24" s="30">
        <f>F24/(100%-H24)</f>
        <v>0</v>
      </c>
      <c r="Q24" s="66">
        <f t="shared" si="0"/>
        <v>2.2109999999999999</v>
      </c>
      <c r="R24" s="66">
        <f t="shared" si="8"/>
        <v>100.503</v>
      </c>
      <c r="S24" s="23">
        <f t="shared" si="8"/>
        <v>0</v>
      </c>
      <c r="T24" s="23">
        <f t="shared" si="8"/>
        <v>100.503</v>
      </c>
      <c r="U24" s="23">
        <f t="shared" si="8"/>
        <v>0</v>
      </c>
      <c r="V24" s="33">
        <f>R23-S23-T23-U23</f>
        <v>0</v>
      </c>
      <c r="W24" s="23"/>
      <c r="X24" s="23"/>
      <c r="Y24" s="66">
        <f t="shared" si="10"/>
        <v>102.764</v>
      </c>
      <c r="Z24" s="23">
        <f t="shared" si="10"/>
        <v>102.764</v>
      </c>
      <c r="AA24" s="23">
        <f t="shared" si="1"/>
        <v>100.503</v>
      </c>
      <c r="AB24" s="23">
        <f t="shared" si="1"/>
        <v>102.764</v>
      </c>
      <c r="AC24" s="33">
        <f t="shared" si="11"/>
        <v>-203.27</v>
      </c>
    </row>
    <row r="25" spans="1:29" s="3" customFormat="1" ht="15.75">
      <c r="A25" s="22">
        <v>12</v>
      </c>
      <c r="B25" s="21" t="s">
        <v>224</v>
      </c>
      <c r="C25" s="92">
        <f t="shared" si="2"/>
        <v>478.30399999999997</v>
      </c>
      <c r="D25" s="20">
        <f>'[3]Річна потреба ТЕ на опалення'!AI44</f>
        <v>40.26</v>
      </c>
      <c r="E25" s="20">
        <f>'[3]Річна потреба ТЕ на опалення'!AJ44</f>
        <v>393.27600000000001</v>
      </c>
      <c r="F25" s="20">
        <f>'[3]Річна потреба ТЕ на опалення'!AK44</f>
        <v>44.768000000000001</v>
      </c>
      <c r="G25" s="20">
        <v>1464</v>
      </c>
      <c r="H25" s="209">
        <v>7.5800000000000006E-2</v>
      </c>
      <c r="I25" s="92">
        <f t="shared" si="3"/>
        <v>39.228999999999999</v>
      </c>
      <c r="J25" s="20">
        <f t="shared" si="3"/>
        <v>3.302</v>
      </c>
      <c r="K25" s="20">
        <f t="shared" si="3"/>
        <v>32.255000000000003</v>
      </c>
      <c r="L25" s="20">
        <f t="shared" si="3"/>
        <v>3.6720000000000002</v>
      </c>
      <c r="M25" s="92">
        <f t="shared" si="4"/>
        <v>517.53300000000002</v>
      </c>
      <c r="N25" s="20">
        <f t="shared" si="5"/>
        <v>43.561999999999998</v>
      </c>
      <c r="O25" s="20">
        <f t="shared" si="6"/>
        <v>425.53100000000001</v>
      </c>
      <c r="P25" s="20">
        <f t="shared" si="7"/>
        <v>48.44</v>
      </c>
      <c r="Q25" s="66">
        <f t="shared" si="0"/>
        <v>11.641999999999999</v>
      </c>
      <c r="R25" s="66">
        <f t="shared" si="8"/>
        <v>529.17499999999995</v>
      </c>
      <c r="S25" s="23">
        <f t="shared" si="8"/>
        <v>44.542000000000002</v>
      </c>
      <c r="T25" s="23">
        <f t="shared" si="8"/>
        <v>435.10300000000001</v>
      </c>
      <c r="U25" s="23">
        <f t="shared" si="8"/>
        <v>49.53</v>
      </c>
      <c r="V25" s="33">
        <f t="shared" si="9"/>
        <v>0</v>
      </c>
      <c r="W25" s="23"/>
      <c r="X25" s="23"/>
      <c r="Y25" s="66">
        <f t="shared" si="10"/>
        <v>541.07899999999995</v>
      </c>
      <c r="Z25" s="23">
        <f t="shared" si="10"/>
        <v>585.62099999999998</v>
      </c>
      <c r="AA25" s="23">
        <f t="shared" si="1"/>
        <v>480.64699999999999</v>
      </c>
      <c r="AB25" s="23">
        <f t="shared" si="1"/>
        <v>494.42</v>
      </c>
      <c r="AC25" s="33">
        <f t="shared" si="11"/>
        <v>-1019.61</v>
      </c>
    </row>
    <row r="26" spans="1:29" s="3" customFormat="1" ht="15.75">
      <c r="A26" s="22">
        <v>13</v>
      </c>
      <c r="B26" s="21" t="s">
        <v>225</v>
      </c>
      <c r="C26" s="92">
        <f t="shared" si="2"/>
        <v>450.87299999999999</v>
      </c>
      <c r="D26" s="20">
        <f>'[3]Річна потреба ТЕ на опалення'!AI52</f>
        <v>44.975000000000001</v>
      </c>
      <c r="E26" s="20">
        <f>'[3]Річна потреба ТЕ на опалення'!AJ52</f>
        <v>340.93799999999999</v>
      </c>
      <c r="F26" s="20">
        <f>'[3]Річна потреба ТЕ на опалення'!AK52</f>
        <v>64.959999999999994</v>
      </c>
      <c r="G26" s="23">
        <v>1398</v>
      </c>
      <c r="H26" s="207">
        <v>7.1900000000000006E-2</v>
      </c>
      <c r="I26" s="66">
        <f t="shared" si="3"/>
        <v>34.929000000000002</v>
      </c>
      <c r="J26" s="23">
        <f t="shared" si="3"/>
        <v>3.484</v>
      </c>
      <c r="K26" s="23">
        <f t="shared" si="3"/>
        <v>26.413</v>
      </c>
      <c r="L26" s="23">
        <f t="shared" si="3"/>
        <v>5.032</v>
      </c>
      <c r="M26" s="66">
        <f t="shared" si="4"/>
        <v>485.80200000000002</v>
      </c>
      <c r="N26" s="23">
        <f t="shared" si="5"/>
        <v>48.459000000000003</v>
      </c>
      <c r="O26" s="23">
        <f t="shared" si="6"/>
        <v>367.351</v>
      </c>
      <c r="P26" s="23">
        <f t="shared" si="7"/>
        <v>69.992000000000004</v>
      </c>
      <c r="Q26" s="66">
        <f t="shared" si="0"/>
        <v>10.928000000000001</v>
      </c>
      <c r="R26" s="66">
        <f t="shared" si="8"/>
        <v>496.73</v>
      </c>
      <c r="S26" s="23">
        <f t="shared" si="8"/>
        <v>49.548999999999999</v>
      </c>
      <c r="T26" s="23">
        <f t="shared" si="8"/>
        <v>375.61500000000001</v>
      </c>
      <c r="U26" s="23">
        <f t="shared" si="8"/>
        <v>71.566000000000003</v>
      </c>
      <c r="V26" s="33">
        <f t="shared" si="9"/>
        <v>0</v>
      </c>
      <c r="W26" s="23"/>
      <c r="X26" s="23"/>
      <c r="Y26" s="66">
        <f t="shared" si="10"/>
        <v>507.904</v>
      </c>
      <c r="Z26" s="23">
        <f t="shared" si="10"/>
        <v>557.45299999999997</v>
      </c>
      <c r="AA26" s="23">
        <f t="shared" si="10"/>
        <v>426.27800000000002</v>
      </c>
      <c r="AB26" s="23">
        <f t="shared" si="10"/>
        <v>455.63099999999997</v>
      </c>
      <c r="AC26" s="33">
        <f t="shared" si="11"/>
        <v>-931.46</v>
      </c>
    </row>
    <row r="27" spans="1:29" s="3" customFormat="1" ht="15.75">
      <c r="A27" s="22">
        <v>14</v>
      </c>
      <c r="B27" s="21" t="s">
        <v>169</v>
      </c>
      <c r="C27" s="92">
        <f t="shared" si="2"/>
        <v>81.608000000000004</v>
      </c>
      <c r="D27" s="20">
        <f>'[3]Річна потреба ТЕ на опалення'!Q26</f>
        <v>0</v>
      </c>
      <c r="E27" s="20">
        <f>'[3]Річна потреба ТЕ на опалення'!AJ53</f>
        <v>81.608000000000004</v>
      </c>
      <c r="F27" s="20">
        <f>'[3]Річна потреба ТЕ на опалення'!S26</f>
        <v>0</v>
      </c>
      <c r="G27" s="23"/>
      <c r="H27" s="207"/>
      <c r="I27" s="66">
        <f t="shared" si="3"/>
        <v>0</v>
      </c>
      <c r="J27" s="23">
        <f t="shared" si="3"/>
        <v>0</v>
      </c>
      <c r="K27" s="23">
        <f t="shared" si="3"/>
        <v>0</v>
      </c>
      <c r="L27" s="23">
        <f t="shared" si="3"/>
        <v>0</v>
      </c>
      <c r="M27" s="66">
        <f t="shared" si="4"/>
        <v>81.608000000000004</v>
      </c>
      <c r="N27" s="23">
        <f t="shared" si="5"/>
        <v>0</v>
      </c>
      <c r="O27" s="23">
        <f t="shared" si="6"/>
        <v>81.608000000000004</v>
      </c>
      <c r="P27" s="23">
        <f t="shared" si="7"/>
        <v>0</v>
      </c>
      <c r="Q27" s="66">
        <f t="shared" si="0"/>
        <v>1.8360000000000001</v>
      </c>
      <c r="R27" s="66">
        <f t="shared" si="8"/>
        <v>83.444000000000003</v>
      </c>
      <c r="S27" s="23">
        <f t="shared" si="8"/>
        <v>0</v>
      </c>
      <c r="T27" s="23">
        <f t="shared" si="8"/>
        <v>83.444000000000003</v>
      </c>
      <c r="U27" s="23">
        <f t="shared" si="8"/>
        <v>0</v>
      </c>
      <c r="V27" s="33">
        <f t="shared" si="9"/>
        <v>0</v>
      </c>
      <c r="W27" s="23"/>
      <c r="X27" s="23"/>
      <c r="Y27" s="66">
        <f t="shared" si="10"/>
        <v>85.320999999999998</v>
      </c>
      <c r="Z27" s="23">
        <f t="shared" si="10"/>
        <v>85.320999999999998</v>
      </c>
      <c r="AA27" s="23">
        <f t="shared" si="10"/>
        <v>83.444000000000003</v>
      </c>
      <c r="AB27" s="23">
        <f t="shared" si="10"/>
        <v>85.320999999999998</v>
      </c>
      <c r="AC27" s="33">
        <f t="shared" si="11"/>
        <v>-168.77</v>
      </c>
    </row>
    <row r="28" spans="1:29" s="3" customFormat="1" ht="15.75">
      <c r="A28" s="22">
        <v>15</v>
      </c>
      <c r="B28" s="21" t="s">
        <v>362</v>
      </c>
      <c r="C28" s="92">
        <f t="shared" si="2"/>
        <v>116.06399999999999</v>
      </c>
      <c r="D28" s="20">
        <f>'[3]Річна потреба ТЕ на опалення'!Q27</f>
        <v>0</v>
      </c>
      <c r="E28" s="20">
        <f>'[3]Річна потреба ТЕ на опалення'!AJ54</f>
        <v>116.06399999999999</v>
      </c>
      <c r="F28" s="20">
        <f>'[3]Річна потреба ТЕ на опалення'!S27</f>
        <v>0</v>
      </c>
      <c r="G28" s="23">
        <v>7.5</v>
      </c>
      <c r="H28" s="207">
        <v>8.0000000000000004E-4</v>
      </c>
      <c r="I28" s="66">
        <f t="shared" si="3"/>
        <v>9.2999999999999999E-2</v>
      </c>
      <c r="J28" s="23">
        <f t="shared" si="3"/>
        <v>0</v>
      </c>
      <c r="K28" s="23">
        <f t="shared" si="3"/>
        <v>9.2999999999999999E-2</v>
      </c>
      <c r="L28" s="23">
        <f t="shared" si="3"/>
        <v>0</v>
      </c>
      <c r="M28" s="66">
        <f t="shared" si="4"/>
        <v>116.157</v>
      </c>
      <c r="N28" s="23">
        <f t="shared" si="5"/>
        <v>0</v>
      </c>
      <c r="O28" s="23">
        <f t="shared" si="6"/>
        <v>116.157</v>
      </c>
      <c r="P28" s="23">
        <f t="shared" si="7"/>
        <v>0</v>
      </c>
      <c r="Q28" s="66">
        <f t="shared" si="0"/>
        <v>2.613</v>
      </c>
      <c r="R28" s="66">
        <f t="shared" si="8"/>
        <v>118.77</v>
      </c>
      <c r="S28" s="23">
        <f t="shared" si="8"/>
        <v>0</v>
      </c>
      <c r="T28" s="23">
        <f t="shared" si="8"/>
        <v>118.77</v>
      </c>
      <c r="U28" s="23">
        <f t="shared" si="8"/>
        <v>0</v>
      </c>
      <c r="V28" s="33">
        <f t="shared" si="9"/>
        <v>0</v>
      </c>
      <c r="W28" s="23"/>
      <c r="X28" s="23"/>
      <c r="Y28" s="66">
        <f t="shared" si="10"/>
        <v>121.44199999999999</v>
      </c>
      <c r="Z28" s="23">
        <f t="shared" si="10"/>
        <v>121.44199999999999</v>
      </c>
      <c r="AA28" s="23">
        <f t="shared" si="10"/>
        <v>118.77</v>
      </c>
      <c r="AB28" s="23">
        <f t="shared" si="10"/>
        <v>121.44199999999999</v>
      </c>
      <c r="AC28" s="33">
        <f t="shared" si="11"/>
        <v>-240.21</v>
      </c>
    </row>
    <row r="29" spans="1:29" s="3" customFormat="1" ht="15.75">
      <c r="A29" s="22">
        <v>16</v>
      </c>
      <c r="B29" s="21" t="s">
        <v>226</v>
      </c>
      <c r="C29" s="92">
        <f>D29+E29+F29</f>
        <v>77.980999999999995</v>
      </c>
      <c r="D29" s="20">
        <f>'[3]Річна потреба ТЕ на опалення'!T55</f>
        <v>0</v>
      </c>
      <c r="E29" s="20">
        <f>'[3]Річна потреба ТЕ на опалення'!AJ55+'[3]Річна потреба ТЕ на опалення'!AJ56</f>
        <v>77.980999999999995</v>
      </c>
      <c r="F29" s="20">
        <f>'[3]Річна потреба ТЕ на опалення'!S28</f>
        <v>0</v>
      </c>
      <c r="G29" s="23"/>
      <c r="H29" s="207"/>
      <c r="I29" s="66">
        <f t="shared" si="3"/>
        <v>0</v>
      </c>
      <c r="J29" s="23">
        <f t="shared" si="3"/>
        <v>0</v>
      </c>
      <c r="K29" s="23">
        <f t="shared" si="3"/>
        <v>0</v>
      </c>
      <c r="L29" s="23">
        <f t="shared" si="3"/>
        <v>0</v>
      </c>
      <c r="M29" s="66">
        <f t="shared" si="4"/>
        <v>77.980999999999995</v>
      </c>
      <c r="N29" s="23">
        <f t="shared" si="5"/>
        <v>0</v>
      </c>
      <c r="O29" s="23">
        <f t="shared" si="6"/>
        <v>77.980999999999995</v>
      </c>
      <c r="P29" s="23">
        <f t="shared" si="7"/>
        <v>0</v>
      </c>
      <c r="Q29" s="66">
        <f t="shared" si="0"/>
        <v>1.754</v>
      </c>
      <c r="R29" s="66">
        <f t="shared" si="8"/>
        <v>79.734999999999999</v>
      </c>
      <c r="S29" s="23">
        <f t="shared" si="8"/>
        <v>0</v>
      </c>
      <c r="T29" s="23">
        <f t="shared" si="8"/>
        <v>79.734999999999999</v>
      </c>
      <c r="U29" s="23">
        <f t="shared" si="8"/>
        <v>0</v>
      </c>
      <c r="V29" s="33">
        <f t="shared" si="9"/>
        <v>0</v>
      </c>
      <c r="W29" s="23"/>
      <c r="X29" s="23"/>
      <c r="Y29" s="66">
        <f t="shared" si="10"/>
        <v>81.528999999999996</v>
      </c>
      <c r="Z29" s="23">
        <f t="shared" si="10"/>
        <v>81.528999999999996</v>
      </c>
      <c r="AA29" s="23">
        <f t="shared" si="10"/>
        <v>79.734999999999999</v>
      </c>
      <c r="AB29" s="23">
        <f t="shared" si="10"/>
        <v>81.528999999999996</v>
      </c>
      <c r="AC29" s="33">
        <f t="shared" si="11"/>
        <v>-161.26</v>
      </c>
    </row>
    <row r="30" spans="1:29" s="3" customFormat="1" ht="15.75">
      <c r="A30" s="22">
        <v>17</v>
      </c>
      <c r="B30" s="21" t="s">
        <v>227</v>
      </c>
      <c r="C30" s="92">
        <f t="shared" si="2"/>
        <v>74.353999999999999</v>
      </c>
      <c r="D30" s="20">
        <f>'[3]Річна потреба ТЕ на опалення'!T56</f>
        <v>0</v>
      </c>
      <c r="E30" s="20">
        <f>'[3]Річна потреба ТЕ на опалення'!AJ57</f>
        <v>74.353999999999999</v>
      </c>
      <c r="F30" s="20">
        <f>'[3]Річна потреба ТЕ на опалення'!S29</f>
        <v>0</v>
      </c>
      <c r="G30" s="23"/>
      <c r="H30" s="207"/>
      <c r="I30" s="66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66">
        <f t="shared" si="4"/>
        <v>74.353999999999999</v>
      </c>
      <c r="N30" s="23">
        <f t="shared" si="5"/>
        <v>0</v>
      </c>
      <c r="O30" s="23">
        <f t="shared" si="6"/>
        <v>74.353999999999999</v>
      </c>
      <c r="P30" s="23">
        <f t="shared" si="7"/>
        <v>0</v>
      </c>
      <c r="Q30" s="66">
        <f t="shared" si="0"/>
        <v>1.673</v>
      </c>
      <c r="R30" s="66">
        <f t="shared" si="8"/>
        <v>76.027000000000001</v>
      </c>
      <c r="S30" s="23">
        <f t="shared" si="8"/>
        <v>0</v>
      </c>
      <c r="T30" s="23">
        <f t="shared" si="8"/>
        <v>76.027000000000001</v>
      </c>
      <c r="U30" s="23">
        <f t="shared" si="8"/>
        <v>0</v>
      </c>
      <c r="V30" s="33">
        <f t="shared" si="9"/>
        <v>0</v>
      </c>
      <c r="W30" s="23"/>
      <c r="X30" s="23"/>
      <c r="Y30" s="66">
        <f t="shared" si="10"/>
        <v>77.736999999999995</v>
      </c>
      <c r="Z30" s="23">
        <f t="shared" si="10"/>
        <v>77.736999999999995</v>
      </c>
      <c r="AA30" s="23">
        <f t="shared" si="10"/>
        <v>76.027000000000001</v>
      </c>
      <c r="AB30" s="23">
        <f t="shared" si="10"/>
        <v>77.736999999999995</v>
      </c>
      <c r="AC30" s="33">
        <f t="shared" si="11"/>
        <v>-153.76</v>
      </c>
    </row>
    <row r="31" spans="1:29" s="3" customFormat="1" ht="15.75">
      <c r="A31" s="22">
        <v>18</v>
      </c>
      <c r="B31" s="21" t="s">
        <v>363</v>
      </c>
      <c r="C31" s="92">
        <f t="shared" si="2"/>
        <v>23.213000000000001</v>
      </c>
      <c r="D31" s="20">
        <f>'[3]Річна потреба ТЕ на опалення'!T57</f>
        <v>0</v>
      </c>
      <c r="E31" s="20">
        <f>'[3]Річна потреба ТЕ на опалення'!AJ58+'[3]Річна потреба ТЕ на опалення'!AJ59</f>
        <v>23.213000000000001</v>
      </c>
      <c r="F31" s="20">
        <f>'[3]Річна потреба ТЕ на опалення'!S30</f>
        <v>0</v>
      </c>
      <c r="G31" s="23"/>
      <c r="H31" s="207"/>
      <c r="I31" s="66">
        <f t="shared" si="3"/>
        <v>0</v>
      </c>
      <c r="J31" s="23">
        <f t="shared" si="3"/>
        <v>0</v>
      </c>
      <c r="K31" s="23">
        <f t="shared" si="3"/>
        <v>0</v>
      </c>
      <c r="L31" s="23">
        <f t="shared" si="3"/>
        <v>0</v>
      </c>
      <c r="M31" s="66">
        <f t="shared" si="4"/>
        <v>23.213000000000001</v>
      </c>
      <c r="N31" s="23">
        <f t="shared" si="5"/>
        <v>0</v>
      </c>
      <c r="O31" s="23">
        <f t="shared" si="6"/>
        <v>23.213000000000001</v>
      </c>
      <c r="P31" s="23">
        <f t="shared" si="7"/>
        <v>0</v>
      </c>
      <c r="Q31" s="66">
        <f t="shared" si="0"/>
        <v>0.52200000000000002</v>
      </c>
      <c r="R31" s="66">
        <f t="shared" si="8"/>
        <v>23.734999999999999</v>
      </c>
      <c r="S31" s="23">
        <f t="shared" si="8"/>
        <v>0</v>
      </c>
      <c r="T31" s="23">
        <f t="shared" si="8"/>
        <v>23.734999999999999</v>
      </c>
      <c r="U31" s="23">
        <f t="shared" si="8"/>
        <v>0</v>
      </c>
      <c r="V31" s="33">
        <f t="shared" si="9"/>
        <v>0</v>
      </c>
      <c r="W31" s="23"/>
      <c r="X31" s="23"/>
      <c r="Y31" s="66">
        <f t="shared" si="10"/>
        <v>24.268999999999998</v>
      </c>
      <c r="Z31" s="23">
        <f t="shared" si="10"/>
        <v>24.268999999999998</v>
      </c>
      <c r="AA31" s="23">
        <f t="shared" si="10"/>
        <v>23.734999999999999</v>
      </c>
      <c r="AB31" s="23">
        <f t="shared" si="10"/>
        <v>24.268999999999998</v>
      </c>
      <c r="AC31" s="33">
        <f t="shared" si="11"/>
        <v>-48</v>
      </c>
    </row>
    <row r="32" spans="1:29" s="3" customFormat="1" ht="15.75">
      <c r="A32" s="22">
        <v>19</v>
      </c>
      <c r="B32" s="21" t="s">
        <v>228</v>
      </c>
      <c r="C32" s="92">
        <f t="shared" si="2"/>
        <v>188.16900000000001</v>
      </c>
      <c r="D32" s="20">
        <f>'[3]Річна потреба ТЕ на опалення'!T58</f>
        <v>0</v>
      </c>
      <c r="E32" s="20">
        <f>'[3]Річна потреба ТЕ на опалення'!AJ60+'[3]Річна потреба ТЕ на опалення'!AJ61+'[3]Річна потреба ТЕ на опалення'!AJ62</f>
        <v>188.16900000000001</v>
      </c>
      <c r="F32" s="20">
        <f>'[3]Річна потреба ТЕ на опалення'!S31</f>
        <v>0</v>
      </c>
      <c r="G32" s="23"/>
      <c r="H32" s="207"/>
      <c r="I32" s="66">
        <f t="shared" si="3"/>
        <v>0</v>
      </c>
      <c r="J32" s="23">
        <f t="shared" si="3"/>
        <v>0</v>
      </c>
      <c r="K32" s="23">
        <f t="shared" si="3"/>
        <v>0</v>
      </c>
      <c r="L32" s="23">
        <f t="shared" si="3"/>
        <v>0</v>
      </c>
      <c r="M32" s="66">
        <f t="shared" si="4"/>
        <v>188.16900000000001</v>
      </c>
      <c r="N32" s="23">
        <f t="shared" si="5"/>
        <v>0</v>
      </c>
      <c r="O32" s="23">
        <f t="shared" si="6"/>
        <v>188.16900000000001</v>
      </c>
      <c r="P32" s="23">
        <f t="shared" si="7"/>
        <v>0</v>
      </c>
      <c r="Q32" s="66">
        <f t="shared" si="0"/>
        <v>4.2329999999999997</v>
      </c>
      <c r="R32" s="66">
        <f t="shared" si="8"/>
        <v>192.40199999999999</v>
      </c>
      <c r="S32" s="23">
        <f t="shared" si="8"/>
        <v>0</v>
      </c>
      <c r="T32" s="23">
        <f t="shared" si="8"/>
        <v>192.40199999999999</v>
      </c>
      <c r="U32" s="23">
        <f t="shared" si="8"/>
        <v>0</v>
      </c>
      <c r="V32" s="33">
        <f t="shared" si="9"/>
        <v>0</v>
      </c>
      <c r="W32" s="23"/>
      <c r="X32" s="23"/>
      <c r="Y32" s="66">
        <f t="shared" si="10"/>
        <v>196.73</v>
      </c>
      <c r="Z32" s="23">
        <f t="shared" si="10"/>
        <v>196.73</v>
      </c>
      <c r="AA32" s="23">
        <f t="shared" si="10"/>
        <v>192.40199999999999</v>
      </c>
      <c r="AB32" s="23">
        <f t="shared" si="10"/>
        <v>196.73</v>
      </c>
      <c r="AC32" s="33">
        <f t="shared" si="11"/>
        <v>-389.13</v>
      </c>
    </row>
    <row r="33" spans="1:29" s="3" customFormat="1" ht="16.5" thickBot="1">
      <c r="A33" s="25">
        <v>20</v>
      </c>
      <c r="B33" s="21" t="s">
        <v>229</v>
      </c>
      <c r="C33" s="92">
        <f t="shared" si="2"/>
        <v>75.150999999999996</v>
      </c>
      <c r="D33" s="20">
        <f>'[3]Річна потреба ТЕ на опалення'!T59</f>
        <v>0</v>
      </c>
      <c r="E33" s="20">
        <f>'[3]Річна потреба ТЕ на опалення'!AJ63+'[3]Річна потреба ТЕ на опалення'!AJ64</f>
        <v>75.150999999999996</v>
      </c>
      <c r="F33" s="20">
        <f>'[3]Річна потреба ТЕ на опалення'!S32</f>
        <v>0</v>
      </c>
      <c r="G33" s="23">
        <v>21</v>
      </c>
      <c r="H33" s="207">
        <v>2.0999999999999999E-3</v>
      </c>
      <c r="I33" s="66">
        <f t="shared" si="3"/>
        <v>0.158</v>
      </c>
      <c r="J33" s="23">
        <f t="shared" si="3"/>
        <v>0</v>
      </c>
      <c r="K33" s="23">
        <f t="shared" si="3"/>
        <v>0.158</v>
      </c>
      <c r="L33" s="23">
        <f t="shared" si="3"/>
        <v>0</v>
      </c>
      <c r="M33" s="66">
        <f t="shared" si="4"/>
        <v>75.308999999999997</v>
      </c>
      <c r="N33" s="23">
        <f t="shared" si="5"/>
        <v>0</v>
      </c>
      <c r="O33" s="23">
        <f t="shared" si="6"/>
        <v>75.308999999999997</v>
      </c>
      <c r="P33" s="23">
        <f t="shared" si="7"/>
        <v>0</v>
      </c>
      <c r="Q33" s="66">
        <f t="shared" si="0"/>
        <v>1.694</v>
      </c>
      <c r="R33" s="66">
        <f t="shared" si="8"/>
        <v>77.003</v>
      </c>
      <c r="S33" s="23">
        <f t="shared" si="8"/>
        <v>0</v>
      </c>
      <c r="T33" s="23">
        <f t="shared" si="8"/>
        <v>77.003</v>
      </c>
      <c r="U33" s="23">
        <f t="shared" si="8"/>
        <v>0</v>
      </c>
      <c r="V33" s="33">
        <f t="shared" si="9"/>
        <v>0</v>
      </c>
      <c r="W33" s="30"/>
      <c r="X33" s="30"/>
      <c r="Y33" s="99">
        <f t="shared" si="10"/>
        <v>78.734999999999999</v>
      </c>
      <c r="Z33" s="30">
        <f t="shared" si="10"/>
        <v>78.734999999999999</v>
      </c>
      <c r="AA33" s="30">
        <f t="shared" si="10"/>
        <v>77.003</v>
      </c>
      <c r="AB33" s="30">
        <f t="shared" si="10"/>
        <v>78.734999999999999</v>
      </c>
      <c r="AC33" s="33">
        <f t="shared" si="11"/>
        <v>-155.74</v>
      </c>
    </row>
    <row r="34" spans="1:29" s="3" customFormat="1" ht="18.75" customHeight="1" thickBot="1">
      <c r="A34" s="26">
        <v>21</v>
      </c>
      <c r="B34" s="27" t="s">
        <v>230</v>
      </c>
      <c r="C34" s="92">
        <f t="shared" si="2"/>
        <v>16.43</v>
      </c>
      <c r="D34" s="20">
        <f>'[3]Річна потреба ТЕ на опалення'!T60</f>
        <v>0</v>
      </c>
      <c r="E34" s="20">
        <f>'[3]Річна потреба ТЕ на опалення'!AJ65</f>
        <v>16.43</v>
      </c>
      <c r="F34" s="20">
        <f>'[3]Річна потреба ТЕ на опалення'!S33</f>
        <v>0</v>
      </c>
      <c r="G34" s="30">
        <v>38.5</v>
      </c>
      <c r="H34" s="31">
        <v>3.8999999999999998E-3</v>
      </c>
      <c r="I34" s="99">
        <f t="shared" si="3"/>
        <v>6.4000000000000001E-2</v>
      </c>
      <c r="J34" s="30">
        <f t="shared" si="3"/>
        <v>0</v>
      </c>
      <c r="K34" s="30">
        <f t="shared" si="3"/>
        <v>6.4000000000000001E-2</v>
      </c>
      <c r="L34" s="30">
        <f t="shared" si="3"/>
        <v>0</v>
      </c>
      <c r="M34" s="99">
        <f t="shared" si="4"/>
        <v>16.494</v>
      </c>
      <c r="N34" s="30">
        <f t="shared" si="5"/>
        <v>0</v>
      </c>
      <c r="O34" s="30">
        <f t="shared" si="6"/>
        <v>16.494</v>
      </c>
      <c r="P34" s="30">
        <f t="shared" si="7"/>
        <v>0</v>
      </c>
      <c r="Q34" s="66">
        <f t="shared" si="0"/>
        <v>0.371</v>
      </c>
      <c r="R34" s="66">
        <f t="shared" si="8"/>
        <v>16.864999999999998</v>
      </c>
      <c r="S34" s="23">
        <f t="shared" si="8"/>
        <v>0</v>
      </c>
      <c r="T34" s="23">
        <f t="shared" si="8"/>
        <v>16.864999999999998</v>
      </c>
      <c r="U34" s="23">
        <f t="shared" si="8"/>
        <v>0</v>
      </c>
      <c r="V34" s="33">
        <f t="shared" si="9"/>
        <v>0</v>
      </c>
      <c r="W34" s="7"/>
      <c r="X34" s="7"/>
      <c r="Y34" s="7">
        <f>SUM(Y14:Y33)</f>
        <v>2149.0720000000001</v>
      </c>
      <c r="Z34" s="7">
        <f>SUM(Z14:Z33)</f>
        <v>2243.163</v>
      </c>
      <c r="AA34" s="7">
        <f>SUM(AA14:AA33)</f>
        <v>1969.8050000000001</v>
      </c>
      <c r="AB34" s="7">
        <f>SUM(AB14:AB33)</f>
        <v>2049.8470000000002</v>
      </c>
      <c r="AC34" s="33">
        <f t="shared" si="11"/>
        <v>-4113.74</v>
      </c>
    </row>
    <row r="35" spans="1:29" s="3" customFormat="1" ht="16.5" thickBot="1">
      <c r="A35" s="4"/>
      <c r="B35" s="4" t="s">
        <v>161</v>
      </c>
      <c r="C35" s="7">
        <f>SUM(C14:C34)</f>
        <v>1995.6110000000001</v>
      </c>
      <c r="D35" s="7">
        <f>SUM(D14:D34)</f>
        <v>85.234999999999999</v>
      </c>
      <c r="E35" s="7">
        <f>SUM(E14:E34)</f>
        <v>1787.953</v>
      </c>
      <c r="F35" s="7">
        <f>SUM(F14:F34)</f>
        <v>122.423</v>
      </c>
      <c r="G35" s="7">
        <f>SUM(G14:G34)</f>
        <v>3369.5</v>
      </c>
      <c r="H35" s="9">
        <f>I35/M35</f>
        <v>3.6900000000000002E-2</v>
      </c>
      <c r="I35" s="7">
        <f t="shared" ref="I35:Q35" si="12">SUM(I14:I34)</f>
        <v>76.435000000000002</v>
      </c>
      <c r="J35" s="7">
        <f t="shared" si="12"/>
        <v>6.7859999999999996</v>
      </c>
      <c r="K35" s="7">
        <f t="shared" si="12"/>
        <v>60.92</v>
      </c>
      <c r="L35" s="7">
        <f t="shared" si="12"/>
        <v>8.7289999999999992</v>
      </c>
      <c r="M35" s="7">
        <f t="shared" si="12"/>
        <v>2072.0459999999998</v>
      </c>
      <c r="N35" s="7">
        <f t="shared" si="12"/>
        <v>92.021000000000001</v>
      </c>
      <c r="O35" s="7">
        <f t="shared" si="12"/>
        <v>1848.873</v>
      </c>
      <c r="P35" s="7">
        <f t="shared" si="12"/>
        <v>131.15199999999999</v>
      </c>
      <c r="Q35" s="7">
        <f t="shared" si="12"/>
        <v>46.61</v>
      </c>
      <c r="R35" s="7">
        <f>SUM(R14:R34)</f>
        <v>2118.6559999999999</v>
      </c>
      <c r="S35" s="7">
        <f>SUM(S14:S34)</f>
        <v>94.090999999999994</v>
      </c>
      <c r="T35" s="7">
        <f>SUM(T14:T34)</f>
        <v>1890.463</v>
      </c>
      <c r="U35" s="7">
        <f>SUM(U14:U34)</f>
        <v>134.102</v>
      </c>
      <c r="V35" s="33">
        <f t="shared" si="9"/>
        <v>0</v>
      </c>
      <c r="Y35" s="1"/>
    </row>
    <row r="36" spans="1:29" s="3" customFormat="1" ht="15.75">
      <c r="C36" s="1"/>
      <c r="I36" s="1"/>
      <c r="J36" s="1"/>
      <c r="K36" s="1"/>
      <c r="L36" s="1"/>
      <c r="M36" s="1"/>
      <c r="Q36" s="1"/>
      <c r="R36" s="1"/>
      <c r="Y36" s="1"/>
    </row>
    <row r="37" spans="1:29" s="3" customFormat="1" ht="15.75">
      <c r="C37" s="1"/>
      <c r="D37" s="57"/>
      <c r="E37" s="57"/>
      <c r="F37" s="57"/>
      <c r="I37" s="1"/>
      <c r="J37" s="1"/>
      <c r="K37" s="1"/>
      <c r="L37" s="1"/>
      <c r="M37" s="1"/>
      <c r="Q37" s="1"/>
      <c r="R37" s="1"/>
      <c r="U37" s="34">
        <f>[3]Жовтень!Q40+[3]Листопад!Q40+[3]Грудень!Q40</f>
        <v>4176.8760000000002</v>
      </c>
      <c r="W37" s="34"/>
      <c r="X37" s="34"/>
      <c r="Y37" s="210">
        <f>Y34-Y17-Y21-Y22</f>
        <v>2094.4029999999998</v>
      </c>
    </row>
    <row r="38" spans="1:29" s="3" customFormat="1" ht="15.75">
      <c r="C38" s="1"/>
      <c r="I38" s="1"/>
      <c r="J38" s="1"/>
      <c r="K38" s="1"/>
      <c r="L38" s="1"/>
      <c r="M38" s="1"/>
      <c r="Q38" s="383">
        <f>R35-R17-R22-R23</f>
        <v>2093.4859999999999</v>
      </c>
      <c r="R38" s="210"/>
      <c r="Y38" s="1"/>
    </row>
    <row r="39" spans="1:29" s="3" customFormat="1" ht="15.75">
      <c r="C39" s="1"/>
      <c r="H39" s="56"/>
      <c r="I39" s="1"/>
      <c r="J39" s="1"/>
      <c r="K39" s="1"/>
      <c r="L39" s="1"/>
      <c r="M39" s="1"/>
      <c r="Q39" s="1"/>
      <c r="R39" s="210">
        <f>[3]Жовтень!R17+[3]Листопад!R17+[3]Грудень!R17</f>
        <v>25.882999999999999</v>
      </c>
      <c r="U39" s="34">
        <f>[3]Жовтень!Q38+[3]Листопад!Q38+[3]Грудень!Q38</f>
        <v>4150.9930000000004</v>
      </c>
      <c r="Y39" s="210">
        <f>Y34-Y21-Y22</f>
        <v>2107.7020000000002</v>
      </c>
      <c r="Z39" s="3" t="s">
        <v>380</v>
      </c>
    </row>
    <row r="40" spans="1:29" ht="15.75">
      <c r="A40" s="3"/>
      <c r="B40" s="3"/>
      <c r="C40" s="1"/>
      <c r="D40" s="3"/>
      <c r="E40" s="3"/>
      <c r="F40" s="3"/>
      <c r="G40" s="3"/>
      <c r="H40" s="56"/>
      <c r="I40" s="1"/>
      <c r="J40" s="1"/>
      <c r="K40" s="1"/>
      <c r="L40" s="1"/>
      <c r="M40" s="1"/>
      <c r="N40" s="3"/>
      <c r="O40" s="3"/>
      <c r="P40" s="3"/>
      <c r="Q40" s="210">
        <f>R35-R22-R23</f>
        <v>2106.4920000000002</v>
      </c>
      <c r="R40" s="1"/>
      <c r="S40" s="3"/>
      <c r="T40" s="3"/>
      <c r="U40" s="3"/>
      <c r="V40" s="3"/>
    </row>
    <row r="41" spans="1:29" ht="15.75">
      <c r="B41" s="12" t="s">
        <v>95</v>
      </c>
      <c r="R41" s="210"/>
      <c r="U41" s="181"/>
    </row>
    <row r="42" spans="1:29">
      <c r="R42" s="2"/>
      <c r="U42" s="181"/>
    </row>
    <row r="43" spans="1:29">
      <c r="R43" s="2"/>
      <c r="U43" s="181"/>
    </row>
    <row r="44" spans="1:29">
      <c r="R44" s="2"/>
      <c r="U44" s="181"/>
    </row>
    <row r="45" spans="1:29" ht="15">
      <c r="H45" s="384">
        <f>J35/N35</f>
        <v>7.3700000000000002E-2</v>
      </c>
      <c r="R45" s="2"/>
      <c r="U45" s="181"/>
    </row>
    <row r="46" spans="1:29" ht="15">
      <c r="H46" s="384">
        <f>K35/O35</f>
        <v>3.2899999999999999E-2</v>
      </c>
      <c r="R46" s="2"/>
      <c r="U46" s="181"/>
    </row>
    <row r="47" spans="1:29" ht="15">
      <c r="H47" s="384">
        <f>L35/P35</f>
        <v>6.6600000000000006E-2</v>
      </c>
      <c r="R47" s="2"/>
      <c r="U47" s="181"/>
    </row>
    <row r="48" spans="1:29">
      <c r="R48" s="2"/>
      <c r="U48" s="181"/>
    </row>
  </sheetData>
  <mergeCells count="30">
    <mergeCell ref="Z7:Z12"/>
    <mergeCell ref="AA7:AA12"/>
    <mergeCell ref="R7:R12"/>
    <mergeCell ref="S7:S12"/>
    <mergeCell ref="AB7:AB12"/>
    <mergeCell ref="T7:T12"/>
    <mergeCell ref="U7:U12"/>
    <mergeCell ref="W7:W12"/>
    <mergeCell ref="X7:X12"/>
    <mergeCell ref="Y7:Y12"/>
    <mergeCell ref="A7:A12"/>
    <mergeCell ref="B7:B12"/>
    <mergeCell ref="C7:C12"/>
    <mergeCell ref="D7:D12"/>
    <mergeCell ref="E7:E12"/>
    <mergeCell ref="F7:F12"/>
    <mergeCell ref="G7:G12"/>
    <mergeCell ref="N7:N12"/>
    <mergeCell ref="O7:O12"/>
    <mergeCell ref="C2:S2"/>
    <mergeCell ref="C3:S3"/>
    <mergeCell ref="G5:M5"/>
    <mergeCell ref="H7:H12"/>
    <mergeCell ref="I7:I12"/>
    <mergeCell ref="J7:J12"/>
    <mergeCell ref="K7:K12"/>
    <mergeCell ref="L7:L12"/>
    <mergeCell ref="M7:M12"/>
    <mergeCell ref="P7:P12"/>
    <mergeCell ref="Q7:Q12"/>
  </mergeCells>
  <phoneticPr fontId="2" type="noConversion"/>
  <pageMargins left="0.26" right="0.34" top="0.33" bottom="0.37" header="0.33" footer="0.37"/>
  <pageSetup paperSize="9" scale="48" orientation="landscape" r:id="rId1"/>
  <headerFooter alignWithMargins="0"/>
  <colBreaks count="2" manualBreakCount="2">
    <brk id="21" max="50" man="1"/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13"/>
  </sheetPr>
  <dimension ref="A2:AC48"/>
  <sheetViews>
    <sheetView topLeftCell="A4" zoomScale="75" zoomScaleNormal="75" workbookViewId="0">
      <selection activeCell="C40" sqref="C40"/>
    </sheetView>
  </sheetViews>
  <sheetFormatPr defaultRowHeight="12.75"/>
  <cols>
    <col min="1" max="1" width="4.42578125" style="181" customWidth="1"/>
    <col min="2" max="2" width="41.140625" style="181" customWidth="1"/>
    <col min="3" max="3" width="12.85546875" style="2" customWidth="1"/>
    <col min="4" max="4" width="12.140625" style="181" customWidth="1"/>
    <col min="5" max="5" width="12.7109375" style="181" customWidth="1"/>
    <col min="6" max="6" width="11.5703125" style="181" customWidth="1"/>
    <col min="7" max="7" width="15.42578125" style="181" customWidth="1"/>
    <col min="8" max="8" width="11.140625" style="186" customWidth="1"/>
    <col min="9" max="9" width="11.7109375" style="2" customWidth="1"/>
    <col min="10" max="12" width="12.85546875" style="2" customWidth="1"/>
    <col min="13" max="13" width="15.5703125" style="2" customWidth="1"/>
    <col min="14" max="14" width="12.140625" style="181" customWidth="1"/>
    <col min="15" max="15" width="13.140625" style="181" customWidth="1"/>
    <col min="16" max="16" width="11.5703125" style="181" customWidth="1"/>
    <col min="17" max="17" width="19.42578125" style="2" customWidth="1"/>
    <col min="18" max="18" width="15" style="181" customWidth="1"/>
    <col min="19" max="19" width="11.28515625" style="181" customWidth="1"/>
    <col min="20" max="20" width="12.140625" style="181" customWidth="1"/>
    <col min="21" max="21" width="19.5703125" style="2" customWidth="1"/>
    <col min="22" max="22" width="12.42578125" style="181" customWidth="1"/>
    <col min="23" max="23" width="11.42578125" style="181" customWidth="1"/>
    <col min="24" max="24" width="11.7109375" style="181" customWidth="1"/>
    <col min="25" max="25" width="15.5703125" style="2" customWidth="1"/>
    <col min="26" max="26" width="12.28515625" style="181" customWidth="1"/>
    <col min="27" max="27" width="13.85546875" style="181" customWidth="1"/>
    <col min="28" max="28" width="12.28515625" style="181" customWidth="1"/>
    <col min="29" max="16384" width="9.140625" style="181"/>
  </cols>
  <sheetData>
    <row r="2" spans="1:29" ht="18">
      <c r="C2" s="528" t="s">
        <v>173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1:29" ht="18">
      <c r="C3" s="528" t="s">
        <v>23</v>
      </c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</row>
    <row r="4" spans="1:29" ht="21" customHeight="1">
      <c r="J4" s="3" t="s">
        <v>312</v>
      </c>
      <c r="K4" s="65"/>
      <c r="L4" s="65"/>
      <c r="M4" s="64"/>
      <c r="N4" s="62">
        <v>177</v>
      </c>
      <c r="O4" s="3" t="s">
        <v>313</v>
      </c>
    </row>
    <row r="5" spans="1:29" ht="15.75">
      <c r="A5" s="54"/>
      <c r="B5" s="54"/>
      <c r="C5" s="54"/>
      <c r="D5" s="54"/>
      <c r="E5" s="54"/>
      <c r="F5" s="54"/>
      <c r="G5" s="547" t="s">
        <v>314</v>
      </c>
      <c r="H5" s="547"/>
      <c r="I5" s="547"/>
      <c r="J5" s="547"/>
      <c r="K5" s="547"/>
      <c r="L5" s="547"/>
      <c r="M5" s="547"/>
      <c r="N5" s="62">
        <v>24</v>
      </c>
      <c r="O5" s="63" t="s">
        <v>313</v>
      </c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9" ht="13.5" thickBot="1"/>
    <row r="7" spans="1:29" s="3" customFormat="1" ht="15" customHeight="1">
      <c r="A7" s="508" t="s">
        <v>179</v>
      </c>
      <c r="B7" s="508" t="s">
        <v>235</v>
      </c>
      <c r="C7" s="508" t="s">
        <v>307</v>
      </c>
      <c r="D7" s="548" t="s">
        <v>284</v>
      </c>
      <c r="E7" s="548" t="s">
        <v>285</v>
      </c>
      <c r="F7" s="548" t="s">
        <v>286</v>
      </c>
      <c r="G7" s="551" t="s">
        <v>315</v>
      </c>
      <c r="H7" s="558" t="s">
        <v>316</v>
      </c>
      <c r="I7" s="556" t="s">
        <v>304</v>
      </c>
      <c r="J7" s="554" t="s">
        <v>284</v>
      </c>
      <c r="K7" s="554" t="s">
        <v>285</v>
      </c>
      <c r="L7" s="554" t="s">
        <v>286</v>
      </c>
      <c r="M7" s="556" t="s">
        <v>310</v>
      </c>
      <c r="N7" s="554" t="s">
        <v>284</v>
      </c>
      <c r="O7" s="554" t="s">
        <v>285</v>
      </c>
      <c r="P7" s="554" t="s">
        <v>286</v>
      </c>
      <c r="Q7" s="556" t="s">
        <v>305</v>
      </c>
      <c r="R7" s="556" t="s">
        <v>306</v>
      </c>
      <c r="S7" s="554" t="s">
        <v>284</v>
      </c>
      <c r="T7" s="554" t="s">
        <v>285</v>
      </c>
      <c r="U7" s="554" t="s">
        <v>286</v>
      </c>
      <c r="W7" s="554" t="s">
        <v>285</v>
      </c>
      <c r="X7" s="554" t="s">
        <v>286</v>
      </c>
      <c r="Y7" s="556" t="s">
        <v>306</v>
      </c>
      <c r="Z7" s="554" t="s">
        <v>284</v>
      </c>
      <c r="AA7" s="554" t="s">
        <v>285</v>
      </c>
      <c r="AB7" s="554" t="s">
        <v>286</v>
      </c>
    </row>
    <row r="8" spans="1:29" s="3" customFormat="1" ht="13.5" customHeight="1">
      <c r="A8" s="509"/>
      <c r="B8" s="509"/>
      <c r="C8" s="509"/>
      <c r="D8" s="549"/>
      <c r="E8" s="549"/>
      <c r="F8" s="549"/>
      <c r="G8" s="552"/>
      <c r="H8" s="559"/>
      <c r="I8" s="557"/>
      <c r="J8" s="555"/>
      <c r="K8" s="555"/>
      <c r="L8" s="555"/>
      <c r="M8" s="557"/>
      <c r="N8" s="555"/>
      <c r="O8" s="555"/>
      <c r="P8" s="555"/>
      <c r="Q8" s="557"/>
      <c r="R8" s="557"/>
      <c r="S8" s="555"/>
      <c r="T8" s="555"/>
      <c r="U8" s="555"/>
      <c r="W8" s="555"/>
      <c r="X8" s="555"/>
      <c r="Y8" s="557"/>
      <c r="Z8" s="555"/>
      <c r="AA8" s="555"/>
      <c r="AB8" s="555"/>
    </row>
    <row r="9" spans="1:29" s="3" customFormat="1" ht="15" customHeight="1">
      <c r="A9" s="509"/>
      <c r="B9" s="509"/>
      <c r="C9" s="509"/>
      <c r="D9" s="549"/>
      <c r="E9" s="549"/>
      <c r="F9" s="549"/>
      <c r="G9" s="552"/>
      <c r="H9" s="559"/>
      <c r="I9" s="557"/>
      <c r="J9" s="555"/>
      <c r="K9" s="555"/>
      <c r="L9" s="555"/>
      <c r="M9" s="557"/>
      <c r="N9" s="555"/>
      <c r="O9" s="555"/>
      <c r="P9" s="555"/>
      <c r="Q9" s="557"/>
      <c r="R9" s="557"/>
      <c r="S9" s="555"/>
      <c r="T9" s="555"/>
      <c r="U9" s="555"/>
      <c r="W9" s="555"/>
      <c r="X9" s="555"/>
      <c r="Y9" s="557"/>
      <c r="Z9" s="555"/>
      <c r="AA9" s="555"/>
      <c r="AB9" s="555"/>
    </row>
    <row r="10" spans="1:29" s="3" customFormat="1" ht="15" customHeight="1">
      <c r="A10" s="509"/>
      <c r="B10" s="509"/>
      <c r="C10" s="509"/>
      <c r="D10" s="549"/>
      <c r="E10" s="549"/>
      <c r="F10" s="549"/>
      <c r="G10" s="552"/>
      <c r="H10" s="559"/>
      <c r="I10" s="557"/>
      <c r="J10" s="555"/>
      <c r="K10" s="555"/>
      <c r="L10" s="555"/>
      <c r="M10" s="557"/>
      <c r="N10" s="555"/>
      <c r="O10" s="555"/>
      <c r="P10" s="555"/>
      <c r="Q10" s="557"/>
      <c r="R10" s="557"/>
      <c r="S10" s="555"/>
      <c r="T10" s="555"/>
      <c r="U10" s="555"/>
      <c r="W10" s="555"/>
      <c r="X10" s="555"/>
      <c r="Y10" s="557"/>
      <c r="Z10" s="555"/>
      <c r="AA10" s="555"/>
      <c r="AB10" s="555"/>
    </row>
    <row r="11" spans="1:29" s="3" customFormat="1" ht="12.75" customHeight="1">
      <c r="A11" s="509"/>
      <c r="B11" s="509"/>
      <c r="C11" s="509"/>
      <c r="D11" s="549"/>
      <c r="E11" s="549"/>
      <c r="F11" s="549"/>
      <c r="G11" s="552"/>
      <c r="H11" s="559"/>
      <c r="I11" s="557"/>
      <c r="J11" s="555"/>
      <c r="K11" s="555"/>
      <c r="L11" s="555"/>
      <c r="M11" s="557"/>
      <c r="N11" s="555"/>
      <c r="O11" s="555"/>
      <c r="P11" s="555"/>
      <c r="Q11" s="557"/>
      <c r="R11" s="557"/>
      <c r="S11" s="555"/>
      <c r="T11" s="555"/>
      <c r="U11" s="555"/>
      <c r="W11" s="555"/>
      <c r="X11" s="555"/>
      <c r="Y11" s="557"/>
      <c r="Z11" s="555"/>
      <c r="AA11" s="555"/>
      <c r="AB11" s="555"/>
    </row>
    <row r="12" spans="1:29" s="3" customFormat="1" ht="15.75" customHeight="1" thickBot="1">
      <c r="A12" s="510"/>
      <c r="B12" s="510"/>
      <c r="C12" s="510"/>
      <c r="D12" s="550"/>
      <c r="E12" s="550"/>
      <c r="F12" s="550"/>
      <c r="G12" s="553"/>
      <c r="H12" s="559"/>
      <c r="I12" s="557"/>
      <c r="J12" s="555"/>
      <c r="K12" s="555"/>
      <c r="L12" s="555"/>
      <c r="M12" s="557"/>
      <c r="N12" s="555"/>
      <c r="O12" s="555"/>
      <c r="P12" s="555"/>
      <c r="Q12" s="557"/>
      <c r="R12" s="557"/>
      <c r="S12" s="555"/>
      <c r="T12" s="555"/>
      <c r="U12" s="555"/>
      <c r="W12" s="555"/>
      <c r="X12" s="555"/>
      <c r="Y12" s="557"/>
      <c r="Z12" s="555"/>
      <c r="AA12" s="555"/>
      <c r="AB12" s="555"/>
    </row>
    <row r="13" spans="1:29" s="3" customFormat="1" ht="16.5" thickBo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21</v>
      </c>
      <c r="R13" s="52">
        <v>25</v>
      </c>
      <c r="S13" s="6">
        <v>26</v>
      </c>
      <c r="T13" s="6">
        <v>27</v>
      </c>
      <c r="U13" s="6">
        <v>28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</row>
    <row r="14" spans="1:29" s="3" customFormat="1" ht="15.75">
      <c r="A14" s="16">
        <v>1</v>
      </c>
      <c r="B14" s="17" t="s">
        <v>216</v>
      </c>
      <c r="C14" s="92">
        <f>D14+E14+F14</f>
        <v>220.56399999999999</v>
      </c>
      <c r="D14" s="20">
        <f>'[3]Річна потреба ТЕ на опалення'!Q13</f>
        <v>0</v>
      </c>
      <c r="E14" s="20">
        <f>'[3]Річна потреба ТЕ на опалення'!AN13</f>
        <v>220.56399999999999</v>
      </c>
      <c r="F14" s="20">
        <f>'[3]Річна потреба ТЕ на опалення'!S13</f>
        <v>0</v>
      </c>
      <c r="G14" s="20">
        <v>60</v>
      </c>
      <c r="H14" s="23">
        <v>6.0000000000000001E-3</v>
      </c>
      <c r="I14" s="66">
        <f>M14-C14</f>
        <v>1.331</v>
      </c>
      <c r="J14" s="23">
        <f>N14-D14</f>
        <v>0</v>
      </c>
      <c r="K14" s="23">
        <f>O14-E14</f>
        <v>1.331</v>
      </c>
      <c r="L14" s="23">
        <f>P14-F14</f>
        <v>0</v>
      </c>
      <c r="M14" s="66">
        <f>C14/(100%-$H$14)</f>
        <v>221.89500000000001</v>
      </c>
      <c r="N14" s="23">
        <f>D14/(100%-H14)</f>
        <v>0</v>
      </c>
      <c r="O14" s="23">
        <f>E14/(100%-H14)</f>
        <v>221.89500000000001</v>
      </c>
      <c r="P14" s="23">
        <f>F14/(100%-H14)</f>
        <v>0</v>
      </c>
      <c r="Q14" s="66">
        <f t="shared" ref="Q14:Q34" si="0">R14-M14</f>
        <v>4.992</v>
      </c>
      <c r="R14" s="66">
        <f>(C14+I14)/(100%-2.2%)</f>
        <v>226.887</v>
      </c>
      <c r="S14" s="23">
        <f>(D14+J14)/(100%-2.2%)</f>
        <v>0</v>
      </c>
      <c r="T14" s="23">
        <f>(E14+K14)/(100%-2.2%)</f>
        <v>226.887</v>
      </c>
      <c r="U14" s="23">
        <f>(F14+L14)/(100%-2.2%)</f>
        <v>0</v>
      </c>
      <c r="V14" s="33">
        <f>R14-S14-T14-U14</f>
        <v>0</v>
      </c>
      <c r="W14" s="23"/>
      <c r="X14" s="23"/>
      <c r="Y14" s="66">
        <f>(C14+I14+Q14)/(100%-2.2%)</f>
        <v>231.99100000000001</v>
      </c>
      <c r="Z14" s="23">
        <f>(D14+J14+R14)/(100%-2.2%)</f>
        <v>231.99100000000001</v>
      </c>
      <c r="AA14" s="23">
        <f t="shared" ref="AA14:AB25" si="1">(E14+K14+S14)/(100%-2.2%)</f>
        <v>226.887</v>
      </c>
      <c r="AB14" s="23">
        <f t="shared" si="1"/>
        <v>231.99100000000001</v>
      </c>
      <c r="AC14" s="33">
        <f>Y14-Z14-AA14-AB14</f>
        <v>-458.88</v>
      </c>
    </row>
    <row r="15" spans="1:29" s="3" customFormat="1" ht="15.75">
      <c r="A15" s="16">
        <v>2</v>
      </c>
      <c r="B15" s="21" t="s">
        <v>189</v>
      </c>
      <c r="C15" s="92">
        <f t="shared" ref="C15:C34" si="2">D15+E15+F15</f>
        <v>114.952</v>
      </c>
      <c r="D15" s="20">
        <f>'[3]Річна потреба ТЕ на опалення'!Q14</f>
        <v>0</v>
      </c>
      <c r="E15" s="20">
        <f>'[3]Річна потреба ТЕ на опалення'!AN14+'[3]Річна потреба ТЕ на опалення'!AN15</f>
        <v>114.952</v>
      </c>
      <c r="F15" s="20">
        <f>'[3]Річна потреба ТЕ на опалення'!S14</f>
        <v>0</v>
      </c>
      <c r="G15" s="23"/>
      <c r="H15" s="23"/>
      <c r="I15" s="66">
        <f t="shared" ref="I15:L34" si="3">M15-C15</f>
        <v>0</v>
      </c>
      <c r="J15" s="23">
        <f t="shared" si="3"/>
        <v>0</v>
      </c>
      <c r="K15" s="23">
        <f t="shared" si="3"/>
        <v>0</v>
      </c>
      <c r="L15" s="23">
        <f t="shared" si="3"/>
        <v>0</v>
      </c>
      <c r="M15" s="66">
        <f t="shared" ref="M15:M34" si="4">C15/(100%-H15)</f>
        <v>114.952</v>
      </c>
      <c r="N15" s="23">
        <f t="shared" ref="N15:N34" si="5">D15/(100%-H15)</f>
        <v>0</v>
      </c>
      <c r="O15" s="23">
        <f t="shared" ref="O15:O34" si="6">E15/(100%-H15)</f>
        <v>114.952</v>
      </c>
      <c r="P15" s="23">
        <f t="shared" ref="P15:P34" si="7">F15/(100%-H15)</f>
        <v>0</v>
      </c>
      <c r="Q15" s="66">
        <f t="shared" si="0"/>
        <v>2.5859999999999999</v>
      </c>
      <c r="R15" s="66">
        <f t="shared" ref="R15:U34" si="8">(C15+I15)/(100%-2.2%)</f>
        <v>117.538</v>
      </c>
      <c r="S15" s="23">
        <f t="shared" si="8"/>
        <v>0</v>
      </c>
      <c r="T15" s="23">
        <f t="shared" si="8"/>
        <v>117.538</v>
      </c>
      <c r="U15" s="23">
        <f t="shared" si="8"/>
        <v>0</v>
      </c>
      <c r="V15" s="33">
        <f t="shared" ref="V15:V35" si="9">R15-S15-T15-U15</f>
        <v>0</v>
      </c>
      <c r="W15" s="23"/>
      <c r="X15" s="23"/>
      <c r="Y15" s="66">
        <f t="shared" ref="Y15:AB33" si="10">(C15+I15+Q15)/(100%-2.2%)</f>
        <v>120.182</v>
      </c>
      <c r="Z15" s="23">
        <f t="shared" si="10"/>
        <v>120.182</v>
      </c>
      <c r="AA15" s="23">
        <f t="shared" si="1"/>
        <v>117.538</v>
      </c>
      <c r="AB15" s="23">
        <f t="shared" si="1"/>
        <v>120.182</v>
      </c>
      <c r="AC15" s="33">
        <f t="shared" ref="AC15:AC34" si="11">Y15-Z15-AA15-AB15</f>
        <v>-237.72</v>
      </c>
    </row>
    <row r="16" spans="1:29" s="3" customFormat="1" ht="15.75">
      <c r="A16" s="22">
        <v>3</v>
      </c>
      <c r="B16" s="21" t="s">
        <v>217</v>
      </c>
      <c r="C16" s="92">
        <f t="shared" si="2"/>
        <v>274.40199999999999</v>
      </c>
      <c r="D16" s="20">
        <f>'[3]Річна потреба ТЕ на опалення'!Q15</f>
        <v>0</v>
      </c>
      <c r="E16" s="20">
        <f>'[3]Річна потреба ТЕ на опалення'!AN16</f>
        <v>274.40199999999999</v>
      </c>
      <c r="F16" s="20">
        <f>'[3]Річна потреба ТЕ на опалення'!S15</f>
        <v>0</v>
      </c>
      <c r="G16" s="93">
        <v>42</v>
      </c>
      <c r="H16" s="93">
        <v>4.0000000000000001E-3</v>
      </c>
      <c r="I16" s="66">
        <f t="shared" si="3"/>
        <v>1.1020000000000001</v>
      </c>
      <c r="J16" s="23">
        <f t="shared" si="3"/>
        <v>0</v>
      </c>
      <c r="K16" s="23">
        <f t="shared" si="3"/>
        <v>1.1020000000000001</v>
      </c>
      <c r="L16" s="23">
        <f t="shared" si="3"/>
        <v>0</v>
      </c>
      <c r="M16" s="66">
        <f t="shared" si="4"/>
        <v>275.50400000000002</v>
      </c>
      <c r="N16" s="23">
        <f t="shared" si="5"/>
        <v>0</v>
      </c>
      <c r="O16" s="23">
        <f t="shared" si="6"/>
        <v>275.50400000000002</v>
      </c>
      <c r="P16" s="23">
        <f t="shared" si="7"/>
        <v>0</v>
      </c>
      <c r="Q16" s="66">
        <f t="shared" si="0"/>
        <v>6.1970000000000001</v>
      </c>
      <c r="R16" s="66">
        <f t="shared" si="8"/>
        <v>281.70100000000002</v>
      </c>
      <c r="S16" s="23">
        <f t="shared" si="8"/>
        <v>0</v>
      </c>
      <c r="T16" s="23">
        <f t="shared" si="8"/>
        <v>281.70100000000002</v>
      </c>
      <c r="U16" s="23">
        <f t="shared" si="8"/>
        <v>0</v>
      </c>
      <c r="V16" s="33">
        <f t="shared" si="9"/>
        <v>0</v>
      </c>
      <c r="W16" s="23"/>
      <c r="X16" s="23"/>
      <c r="Y16" s="66">
        <f t="shared" si="10"/>
        <v>288.03800000000001</v>
      </c>
      <c r="Z16" s="23">
        <f t="shared" si="10"/>
        <v>288.03800000000001</v>
      </c>
      <c r="AA16" s="23">
        <f t="shared" si="1"/>
        <v>281.70100000000002</v>
      </c>
      <c r="AB16" s="23">
        <f t="shared" si="1"/>
        <v>288.03800000000001</v>
      </c>
      <c r="AC16" s="33">
        <f t="shared" si="11"/>
        <v>-569.74</v>
      </c>
    </row>
    <row r="17" spans="1:29" s="71" customFormat="1" ht="15.75">
      <c r="A17" s="72">
        <v>4</v>
      </c>
      <c r="B17" s="76" t="s">
        <v>218</v>
      </c>
      <c r="C17" s="94">
        <f t="shared" si="2"/>
        <v>64.893000000000001</v>
      </c>
      <c r="D17" s="95">
        <f>'[3]Річна потреба ТЕ на опалення'!T17</f>
        <v>0</v>
      </c>
      <c r="E17" s="95">
        <f>'[3]Річна потреба ТЕ на опалення'!U17</f>
        <v>0</v>
      </c>
      <c r="F17" s="95">
        <f>'[3]Річна потреба ТЕ на опалення'!AO17</f>
        <v>64.893000000000001</v>
      </c>
      <c r="G17" s="96">
        <f>0.02*1000</f>
        <v>20</v>
      </c>
      <c r="H17" s="205">
        <f>G17/100*1%</f>
        <v>2E-3</v>
      </c>
      <c r="I17" s="97">
        <f>L17</f>
        <v>0.129</v>
      </c>
      <c r="J17" s="96">
        <f t="shared" si="3"/>
        <v>0</v>
      </c>
      <c r="K17" s="96">
        <f t="shared" si="3"/>
        <v>0</v>
      </c>
      <c r="L17" s="95">
        <f>[4]січ2020!L17+[4]лют2020!L17+[4]берез2020!L17+[4]квіт2020!L17+[4]жовт2019!L17+[4]листопад2019!L17+[4]груд2019!L17</f>
        <v>0.129</v>
      </c>
      <c r="M17" s="94">
        <f>N17+O17+P17</f>
        <v>65.022000000000006</v>
      </c>
      <c r="N17" s="95">
        <v>0</v>
      </c>
      <c r="O17" s="95">
        <v>0</v>
      </c>
      <c r="P17" s="95">
        <f>F17+L17</f>
        <v>65.022000000000006</v>
      </c>
      <c r="Q17" s="97">
        <f t="shared" si="0"/>
        <v>1.4630000000000001</v>
      </c>
      <c r="R17" s="97">
        <f t="shared" si="8"/>
        <v>66.484999999999999</v>
      </c>
      <c r="S17" s="96">
        <f t="shared" si="8"/>
        <v>0</v>
      </c>
      <c r="T17" s="96">
        <f t="shared" si="8"/>
        <v>0</v>
      </c>
      <c r="U17" s="96">
        <f t="shared" si="8"/>
        <v>66.484999999999999</v>
      </c>
      <c r="V17" s="33">
        <f t="shared" si="9"/>
        <v>0</v>
      </c>
      <c r="W17" s="96"/>
      <c r="X17" s="96"/>
      <c r="Y17" s="97">
        <f t="shared" si="10"/>
        <v>67.980999999999995</v>
      </c>
      <c r="Z17" s="96">
        <f t="shared" si="10"/>
        <v>67.980999999999995</v>
      </c>
      <c r="AA17" s="96">
        <f t="shared" si="1"/>
        <v>0</v>
      </c>
      <c r="AB17" s="96">
        <f t="shared" si="1"/>
        <v>66.484999999999999</v>
      </c>
      <c r="AC17" s="212">
        <f t="shared" si="11"/>
        <v>-66.489999999999995</v>
      </c>
    </row>
    <row r="18" spans="1:29" s="3" customFormat="1" ht="15.75">
      <c r="A18" s="22">
        <v>5</v>
      </c>
      <c r="B18" s="21" t="s">
        <v>359</v>
      </c>
      <c r="C18" s="92">
        <f t="shared" si="2"/>
        <v>344.85500000000002</v>
      </c>
      <c r="D18" s="20">
        <f>'[3]Річна потреба ТЕ на опалення'!Q17</f>
        <v>0</v>
      </c>
      <c r="E18" s="20">
        <f>'[3]Річна потреба ТЕ на опалення'!AN18</f>
        <v>344.85500000000002</v>
      </c>
      <c r="F18" s="20">
        <v>0</v>
      </c>
      <c r="G18" s="93">
        <f>0.07*1000</f>
        <v>70</v>
      </c>
      <c r="H18" s="206">
        <f>G18/100*1%</f>
        <v>7.0000000000000001E-3</v>
      </c>
      <c r="I18" s="66">
        <f t="shared" si="3"/>
        <v>2.431</v>
      </c>
      <c r="J18" s="23">
        <f t="shared" si="3"/>
        <v>0</v>
      </c>
      <c r="K18" s="23">
        <f t="shared" si="3"/>
        <v>2.431</v>
      </c>
      <c r="L18" s="23">
        <f t="shared" si="3"/>
        <v>0</v>
      </c>
      <c r="M18" s="66">
        <f t="shared" si="4"/>
        <v>347.286</v>
      </c>
      <c r="N18" s="23">
        <f t="shared" si="5"/>
        <v>0</v>
      </c>
      <c r="O18" s="23">
        <f t="shared" si="6"/>
        <v>347.286</v>
      </c>
      <c r="P18" s="23">
        <f t="shared" si="7"/>
        <v>0</v>
      </c>
      <c r="Q18" s="66">
        <f t="shared" si="0"/>
        <v>7.8120000000000003</v>
      </c>
      <c r="R18" s="66">
        <f t="shared" si="8"/>
        <v>355.09800000000001</v>
      </c>
      <c r="S18" s="23">
        <f t="shared" si="8"/>
        <v>0</v>
      </c>
      <c r="T18" s="23">
        <f t="shared" si="8"/>
        <v>355.09800000000001</v>
      </c>
      <c r="U18" s="23">
        <f t="shared" si="8"/>
        <v>0</v>
      </c>
      <c r="V18" s="33">
        <f t="shared" si="9"/>
        <v>0</v>
      </c>
      <c r="W18" s="23"/>
      <c r="X18" s="23"/>
      <c r="Y18" s="66">
        <f t="shared" si="10"/>
        <v>363.08600000000001</v>
      </c>
      <c r="Z18" s="23">
        <f t="shared" si="10"/>
        <v>363.08600000000001</v>
      </c>
      <c r="AA18" s="23">
        <f t="shared" si="1"/>
        <v>355.09800000000001</v>
      </c>
      <c r="AB18" s="23">
        <f t="shared" si="1"/>
        <v>363.08600000000001</v>
      </c>
      <c r="AC18" s="33">
        <f t="shared" si="11"/>
        <v>-718.18</v>
      </c>
    </row>
    <row r="19" spans="1:29" s="3" customFormat="1" ht="15.75">
      <c r="A19" s="22">
        <v>6</v>
      </c>
      <c r="B19" s="21" t="s">
        <v>190</v>
      </c>
      <c r="C19" s="92">
        <f t="shared" si="2"/>
        <v>148.32499999999999</v>
      </c>
      <c r="D19" s="20">
        <f>'[3]Річна потреба ТЕ на опалення'!Q18</f>
        <v>0</v>
      </c>
      <c r="E19" s="20">
        <f>'[3]Річна потреба ТЕ на опалення'!AN19</f>
        <v>148.32499999999999</v>
      </c>
      <c r="F19" s="20">
        <f>'[3]Річна потреба ТЕ на опалення'!S18</f>
        <v>0</v>
      </c>
      <c r="G19" s="93">
        <v>23</v>
      </c>
      <c r="H19" s="206">
        <v>2.3E-3</v>
      </c>
      <c r="I19" s="66">
        <f t="shared" si="3"/>
        <v>0.34200000000000003</v>
      </c>
      <c r="J19" s="23">
        <f t="shared" si="3"/>
        <v>0</v>
      </c>
      <c r="K19" s="23">
        <f t="shared" si="3"/>
        <v>0.34200000000000003</v>
      </c>
      <c r="L19" s="23">
        <f t="shared" si="3"/>
        <v>0</v>
      </c>
      <c r="M19" s="66">
        <f t="shared" si="4"/>
        <v>148.667</v>
      </c>
      <c r="N19" s="23">
        <f t="shared" si="5"/>
        <v>0</v>
      </c>
      <c r="O19" s="23">
        <f t="shared" si="6"/>
        <v>148.667</v>
      </c>
      <c r="P19" s="23">
        <f t="shared" si="7"/>
        <v>0</v>
      </c>
      <c r="Q19" s="66">
        <f t="shared" si="0"/>
        <v>3.3439999999999999</v>
      </c>
      <c r="R19" s="66">
        <f t="shared" si="8"/>
        <v>152.011</v>
      </c>
      <c r="S19" s="23">
        <f t="shared" si="8"/>
        <v>0</v>
      </c>
      <c r="T19" s="23">
        <f t="shared" si="8"/>
        <v>152.011</v>
      </c>
      <c r="U19" s="23">
        <f t="shared" si="8"/>
        <v>0</v>
      </c>
      <c r="V19" s="33">
        <f t="shared" si="9"/>
        <v>0</v>
      </c>
      <c r="W19" s="23"/>
      <c r="X19" s="23"/>
      <c r="Y19" s="66">
        <f t="shared" si="10"/>
        <v>155.43</v>
      </c>
      <c r="Z19" s="23">
        <f t="shared" si="10"/>
        <v>155.43</v>
      </c>
      <c r="AA19" s="23">
        <f t="shared" si="1"/>
        <v>152.011</v>
      </c>
      <c r="AB19" s="23">
        <f t="shared" si="1"/>
        <v>155.43</v>
      </c>
      <c r="AC19" s="33">
        <f t="shared" si="11"/>
        <v>-307.44</v>
      </c>
    </row>
    <row r="20" spans="1:29" s="3" customFormat="1" ht="15.75">
      <c r="A20" s="22">
        <v>7</v>
      </c>
      <c r="B20" s="21" t="s">
        <v>360</v>
      </c>
      <c r="C20" s="92">
        <f t="shared" si="2"/>
        <v>206.358</v>
      </c>
      <c r="D20" s="20">
        <f>'[3]Річна потреба ТЕ на опалення'!Q19</f>
        <v>0</v>
      </c>
      <c r="E20" s="20">
        <f>'[3]Річна потреба ТЕ на опалення'!AN23</f>
        <v>206.358</v>
      </c>
      <c r="F20" s="20">
        <f>'[3]Річна потреба ТЕ на опалення'!S19</f>
        <v>0</v>
      </c>
      <c r="G20" s="23">
        <v>225.5</v>
      </c>
      <c r="H20" s="207">
        <v>2.2599999999999999E-2</v>
      </c>
      <c r="I20" s="66">
        <f t="shared" si="3"/>
        <v>4.7720000000000002</v>
      </c>
      <c r="J20" s="23">
        <f t="shared" si="3"/>
        <v>0</v>
      </c>
      <c r="K20" s="23">
        <f t="shared" si="3"/>
        <v>4.7720000000000002</v>
      </c>
      <c r="L20" s="23">
        <f t="shared" si="3"/>
        <v>0</v>
      </c>
      <c r="M20" s="66">
        <f t="shared" si="4"/>
        <v>211.13</v>
      </c>
      <c r="N20" s="23">
        <f t="shared" si="5"/>
        <v>0</v>
      </c>
      <c r="O20" s="23">
        <f t="shared" si="6"/>
        <v>211.13</v>
      </c>
      <c r="P20" s="23">
        <f t="shared" si="7"/>
        <v>0</v>
      </c>
      <c r="Q20" s="66">
        <f t="shared" si="0"/>
        <v>4.7489999999999997</v>
      </c>
      <c r="R20" s="66">
        <f t="shared" si="8"/>
        <v>215.87899999999999</v>
      </c>
      <c r="S20" s="23">
        <f t="shared" si="8"/>
        <v>0</v>
      </c>
      <c r="T20" s="23">
        <f t="shared" si="8"/>
        <v>215.87899999999999</v>
      </c>
      <c r="U20" s="23">
        <f t="shared" si="8"/>
        <v>0</v>
      </c>
      <c r="V20" s="33"/>
      <c r="W20" s="23"/>
      <c r="X20" s="23"/>
      <c r="Y20" s="66">
        <f t="shared" si="10"/>
        <v>220.73500000000001</v>
      </c>
      <c r="Z20" s="23">
        <f t="shared" si="10"/>
        <v>220.73500000000001</v>
      </c>
      <c r="AA20" s="23">
        <f t="shared" si="1"/>
        <v>215.87899999999999</v>
      </c>
      <c r="AB20" s="23">
        <f t="shared" si="1"/>
        <v>220.73500000000001</v>
      </c>
      <c r="AC20" s="33"/>
    </row>
    <row r="21" spans="1:29" s="3" customFormat="1" ht="15.75">
      <c r="A21" s="22">
        <v>8</v>
      </c>
      <c r="B21" s="21" t="s">
        <v>168</v>
      </c>
      <c r="C21" s="92">
        <f t="shared" si="2"/>
        <v>189.113</v>
      </c>
      <c r="D21" s="20">
        <f>'[3]Річна потреба ТЕ на опалення'!Q20</f>
        <v>0</v>
      </c>
      <c r="E21" s="20">
        <f>'[3]Річна потреба ТЕ на опалення'!AN24</f>
        <v>189.113</v>
      </c>
      <c r="F21" s="20">
        <f>'[3]Річна потреба ТЕ на опалення'!S20</f>
        <v>0</v>
      </c>
      <c r="G21" s="20"/>
      <c r="H21" s="207"/>
      <c r="I21" s="66">
        <f t="shared" si="3"/>
        <v>0</v>
      </c>
      <c r="J21" s="23">
        <f t="shared" si="3"/>
        <v>0</v>
      </c>
      <c r="K21" s="23">
        <f t="shared" si="3"/>
        <v>0</v>
      </c>
      <c r="L21" s="23">
        <f t="shared" si="3"/>
        <v>0</v>
      </c>
      <c r="M21" s="66">
        <f t="shared" si="4"/>
        <v>189.113</v>
      </c>
      <c r="N21" s="23">
        <f>D21/(100%-H21)</f>
        <v>0</v>
      </c>
      <c r="O21" s="23">
        <f>E21/(100%-H21)</f>
        <v>189.113</v>
      </c>
      <c r="P21" s="23">
        <f>F21/(100%-H21)</f>
        <v>0</v>
      </c>
      <c r="Q21" s="66">
        <f t="shared" si="0"/>
        <v>4.2539999999999996</v>
      </c>
      <c r="R21" s="66">
        <f t="shared" si="8"/>
        <v>193.36699999999999</v>
      </c>
      <c r="S21" s="23">
        <f t="shared" si="8"/>
        <v>0</v>
      </c>
      <c r="T21" s="23">
        <f t="shared" si="8"/>
        <v>193.36699999999999</v>
      </c>
      <c r="U21" s="23">
        <f t="shared" si="8"/>
        <v>0</v>
      </c>
      <c r="V21" s="33"/>
      <c r="W21" s="23"/>
      <c r="X21" s="23"/>
      <c r="Y21" s="66">
        <f t="shared" si="10"/>
        <v>197.71700000000001</v>
      </c>
      <c r="Z21" s="23">
        <f t="shared" si="10"/>
        <v>197.71700000000001</v>
      </c>
      <c r="AA21" s="23">
        <f t="shared" si="1"/>
        <v>193.36699999999999</v>
      </c>
      <c r="AB21" s="23">
        <f t="shared" si="1"/>
        <v>197.71700000000001</v>
      </c>
      <c r="AC21" s="33">
        <f t="shared" si="11"/>
        <v>-391.08</v>
      </c>
    </row>
    <row r="22" spans="1:29" s="3" customFormat="1" ht="15.75">
      <c r="A22" s="22">
        <v>9</v>
      </c>
      <c r="B22" s="459" t="s">
        <v>221</v>
      </c>
      <c r="C22" s="460">
        <f>D22+E22+F22</f>
        <v>13.164</v>
      </c>
      <c r="D22" s="461">
        <f>'[3]Річна потреба ТЕ на опалення'!Q21</f>
        <v>0</v>
      </c>
      <c r="E22" s="461">
        <f>'[3]Річна потреба ТЕ на опалення'!AN25</f>
        <v>13.164</v>
      </c>
      <c r="F22" s="461">
        <f>'[3]Річна потреба ТЕ на опалення'!S21</f>
        <v>0</v>
      </c>
      <c r="G22" s="462"/>
      <c r="H22" s="463"/>
      <c r="I22" s="464">
        <f t="shared" si="3"/>
        <v>0</v>
      </c>
      <c r="J22" s="462">
        <f t="shared" si="3"/>
        <v>0</v>
      </c>
      <c r="K22" s="462">
        <f t="shared" si="3"/>
        <v>0</v>
      </c>
      <c r="L22" s="462">
        <f t="shared" si="3"/>
        <v>0</v>
      </c>
      <c r="M22" s="464">
        <f>C22/(100%-H22)</f>
        <v>13.164</v>
      </c>
      <c r="N22" s="462">
        <f>D22/(100%-H22)</f>
        <v>0</v>
      </c>
      <c r="O22" s="462">
        <f>E22/(100%-H22)</f>
        <v>13.164</v>
      </c>
      <c r="P22" s="462">
        <f>F22/(100%-H22)</f>
        <v>0</v>
      </c>
      <c r="Q22" s="464">
        <f t="shared" si="0"/>
        <v>0.29599999999999999</v>
      </c>
      <c r="R22" s="464">
        <f t="shared" si="8"/>
        <v>13.46</v>
      </c>
      <c r="S22" s="462">
        <f t="shared" si="8"/>
        <v>0</v>
      </c>
      <c r="T22" s="462">
        <f t="shared" si="8"/>
        <v>13.46</v>
      </c>
      <c r="U22" s="462">
        <f t="shared" si="8"/>
        <v>0</v>
      </c>
      <c r="V22" s="33" t="e">
        <f>#REF!-#REF!-#REF!-#REF!</f>
        <v>#REF!</v>
      </c>
      <c r="W22" s="23"/>
      <c r="X22" s="23"/>
      <c r="Y22" s="66">
        <f t="shared" si="10"/>
        <v>13.763</v>
      </c>
      <c r="Z22" s="23">
        <f t="shared" si="10"/>
        <v>13.763</v>
      </c>
      <c r="AA22" s="23">
        <f t="shared" si="1"/>
        <v>13.46</v>
      </c>
      <c r="AB22" s="23">
        <f t="shared" si="1"/>
        <v>13.763</v>
      </c>
      <c r="AC22" s="33">
        <f t="shared" si="11"/>
        <v>-27.22</v>
      </c>
    </row>
    <row r="23" spans="1:29" s="3" customFormat="1" ht="15.75">
      <c r="A23" s="22">
        <v>10</v>
      </c>
      <c r="B23" s="459" t="s">
        <v>222</v>
      </c>
      <c r="C23" s="465">
        <f>D23+E23+F23</f>
        <v>47.649000000000001</v>
      </c>
      <c r="D23" s="461">
        <f>'[3]Річна потреба ТЕ на опалення'!Q22</f>
        <v>0</v>
      </c>
      <c r="E23" s="461">
        <f>'[3]Річна потреба ТЕ на опалення'!AN26</f>
        <v>47.649000000000001</v>
      </c>
      <c r="F23" s="461">
        <f>'[3]Річна потреба ТЕ на опалення'!S22</f>
        <v>0</v>
      </c>
      <c r="G23" s="466"/>
      <c r="H23" s="467"/>
      <c r="I23" s="468">
        <f t="shared" si="3"/>
        <v>0</v>
      </c>
      <c r="J23" s="466">
        <f t="shared" si="3"/>
        <v>0</v>
      </c>
      <c r="K23" s="466">
        <f t="shared" si="3"/>
        <v>0</v>
      </c>
      <c r="L23" s="466">
        <f t="shared" si="3"/>
        <v>0</v>
      </c>
      <c r="M23" s="468">
        <f>C23/(100%-H23)</f>
        <v>47.649000000000001</v>
      </c>
      <c r="N23" s="466">
        <f>D23/(100%-H23)</f>
        <v>0</v>
      </c>
      <c r="O23" s="466">
        <f>E23/(100%-H23)</f>
        <v>47.649000000000001</v>
      </c>
      <c r="P23" s="466">
        <f>F23/(100%-H23)</f>
        <v>0</v>
      </c>
      <c r="Q23" s="464">
        <f t="shared" si="0"/>
        <v>1.0720000000000001</v>
      </c>
      <c r="R23" s="464">
        <f t="shared" si="8"/>
        <v>48.720999999999997</v>
      </c>
      <c r="S23" s="462">
        <f t="shared" si="8"/>
        <v>0</v>
      </c>
      <c r="T23" s="462">
        <f t="shared" si="8"/>
        <v>48.720999999999997</v>
      </c>
      <c r="U23" s="462">
        <f t="shared" si="8"/>
        <v>0</v>
      </c>
      <c r="V23" s="33">
        <f>R22-S22-T22-U22</f>
        <v>0</v>
      </c>
      <c r="W23" s="23"/>
      <c r="X23" s="23"/>
      <c r="Y23" s="66">
        <f t="shared" si="10"/>
        <v>49.817</v>
      </c>
      <c r="Z23" s="23">
        <f t="shared" si="10"/>
        <v>49.817</v>
      </c>
      <c r="AA23" s="23">
        <f t="shared" si="1"/>
        <v>48.720999999999997</v>
      </c>
      <c r="AB23" s="23">
        <f t="shared" si="1"/>
        <v>49.817</v>
      </c>
      <c r="AC23" s="33">
        <f t="shared" si="11"/>
        <v>-98.54</v>
      </c>
    </row>
    <row r="24" spans="1:29" s="3" customFormat="1" ht="15.75">
      <c r="A24" s="22">
        <v>11</v>
      </c>
      <c r="B24" s="21" t="s">
        <v>223</v>
      </c>
      <c r="C24" s="98">
        <f>D24+E24+F24</f>
        <v>502.45</v>
      </c>
      <c r="D24" s="20">
        <f>'[3]Річна потреба ТЕ на опалення'!Q23</f>
        <v>0</v>
      </c>
      <c r="E24" s="20">
        <f>'[3]Річна потреба ТЕ на опалення'!AN27</f>
        <v>502.45</v>
      </c>
      <c r="F24" s="20">
        <f>'[3]Річна потреба ТЕ на опалення'!S23</f>
        <v>0</v>
      </c>
      <c r="G24" s="30"/>
      <c r="H24" s="31"/>
      <c r="I24" s="99">
        <f t="shared" si="3"/>
        <v>0</v>
      </c>
      <c r="J24" s="30">
        <f t="shared" si="3"/>
        <v>0</v>
      </c>
      <c r="K24" s="30">
        <f t="shared" si="3"/>
        <v>0</v>
      </c>
      <c r="L24" s="30">
        <f t="shared" si="3"/>
        <v>0</v>
      </c>
      <c r="M24" s="99">
        <f>C24/(100%-H24)</f>
        <v>502.45</v>
      </c>
      <c r="N24" s="30">
        <f>D24/(100%-H24)</f>
        <v>0</v>
      </c>
      <c r="O24" s="30">
        <f>E24/(100%-H24)</f>
        <v>502.45</v>
      </c>
      <c r="P24" s="30">
        <f>F24/(100%-H24)</f>
        <v>0</v>
      </c>
      <c r="Q24" s="66">
        <f t="shared" si="0"/>
        <v>11.303000000000001</v>
      </c>
      <c r="R24" s="66">
        <f t="shared" si="8"/>
        <v>513.75300000000004</v>
      </c>
      <c r="S24" s="23">
        <f t="shared" si="8"/>
        <v>0</v>
      </c>
      <c r="T24" s="23">
        <f t="shared" si="8"/>
        <v>513.75300000000004</v>
      </c>
      <c r="U24" s="23">
        <f t="shared" si="8"/>
        <v>0</v>
      </c>
      <c r="V24" s="33">
        <f>R23-S23-T23-U23</f>
        <v>0</v>
      </c>
      <c r="W24" s="23"/>
      <c r="X24" s="23"/>
      <c r="Y24" s="66">
        <f t="shared" si="10"/>
        <v>525.30999999999995</v>
      </c>
      <c r="Z24" s="23">
        <f t="shared" si="10"/>
        <v>525.30999999999995</v>
      </c>
      <c r="AA24" s="23">
        <f t="shared" si="1"/>
        <v>513.75300000000004</v>
      </c>
      <c r="AB24" s="23">
        <f t="shared" si="1"/>
        <v>525.30999999999995</v>
      </c>
      <c r="AC24" s="33">
        <f t="shared" si="11"/>
        <v>-1039.06</v>
      </c>
    </row>
    <row r="25" spans="1:29" s="3" customFormat="1" ht="15.75">
      <c r="A25" s="22">
        <v>12</v>
      </c>
      <c r="B25" s="21" t="s">
        <v>224</v>
      </c>
      <c r="C25" s="92">
        <f t="shared" si="2"/>
        <v>2425.826</v>
      </c>
      <c r="D25" s="20">
        <f>'[3]Річна потреба ТЕ на опалення'!AM44</f>
        <v>205.803</v>
      </c>
      <c r="E25" s="20">
        <f>'[3]Річна потреба ТЕ на опалення'!AN44</f>
        <v>2010.3610000000001</v>
      </c>
      <c r="F25" s="20">
        <f>'[3]Річна потреба ТЕ на опалення'!AO44</f>
        <v>209.66200000000001</v>
      </c>
      <c r="G25" s="20">
        <v>1464</v>
      </c>
      <c r="H25" s="209">
        <v>7.5800000000000006E-2</v>
      </c>
      <c r="I25" s="92">
        <f>J25+K25+L25</f>
        <v>198.96</v>
      </c>
      <c r="J25" s="20">
        <f>[4]січ2020!J25+[4]лют2020!J25+[4]берез2020!J25+[4]квіт2020!J25+[4]жовт2019!J25+[4]листопад2019!J25+[4]груд2019!J25</f>
        <v>16.88</v>
      </c>
      <c r="K25" s="20">
        <f>[4]січ2020!K25+[4]лют2020!K25+[4]берез2020!K25+[4]квіт2020!K25+[4]жовт2019!K25+[4]листопад2019!K25+[4]груд2019!K25</f>
        <v>164.88300000000001</v>
      </c>
      <c r="L25" s="20">
        <f>[4]січ2020!L25+[4]лют2020!L25+[4]берез2020!L25+[4]квіт2020!L25+[4]жовт2019!L25+[4]листопад2019!L25+[4]груд2019!L25</f>
        <v>17.196999999999999</v>
      </c>
      <c r="M25" s="92">
        <f>N25+O25+P25</f>
        <v>2624.7860000000001</v>
      </c>
      <c r="N25" s="20">
        <f t="shared" ref="N25:P26" si="12">D25+J25</f>
        <v>222.68299999999999</v>
      </c>
      <c r="O25" s="20">
        <f t="shared" si="12"/>
        <v>2175.2440000000001</v>
      </c>
      <c r="P25" s="20">
        <f t="shared" si="12"/>
        <v>226.85900000000001</v>
      </c>
      <c r="Q25" s="66">
        <f t="shared" si="0"/>
        <v>59.043999999999997</v>
      </c>
      <c r="R25" s="66">
        <f t="shared" si="8"/>
        <v>2683.83</v>
      </c>
      <c r="S25" s="23">
        <f t="shared" si="8"/>
        <v>227.69200000000001</v>
      </c>
      <c r="T25" s="23">
        <f t="shared" si="8"/>
        <v>2224.1759999999999</v>
      </c>
      <c r="U25" s="23">
        <f t="shared" si="8"/>
        <v>231.96199999999999</v>
      </c>
      <c r="V25" s="33">
        <f t="shared" si="9"/>
        <v>0</v>
      </c>
      <c r="W25" s="23"/>
      <c r="X25" s="23"/>
      <c r="Y25" s="66">
        <f t="shared" si="10"/>
        <v>2744.2020000000002</v>
      </c>
      <c r="Z25" s="23">
        <f t="shared" si="10"/>
        <v>2971.895</v>
      </c>
      <c r="AA25" s="23">
        <f t="shared" si="1"/>
        <v>2456.9899999999998</v>
      </c>
      <c r="AB25" s="23">
        <f t="shared" si="1"/>
        <v>2506.1709999999998</v>
      </c>
      <c r="AC25" s="33">
        <f t="shared" si="11"/>
        <v>-5190.8500000000004</v>
      </c>
    </row>
    <row r="26" spans="1:29" s="3" customFormat="1" ht="15.75">
      <c r="A26" s="22">
        <v>13</v>
      </c>
      <c r="B26" s="21" t="s">
        <v>225</v>
      </c>
      <c r="C26" s="92">
        <f t="shared" si="2"/>
        <v>2304.7829999999999</v>
      </c>
      <c r="D26" s="20">
        <f>'[3]Річна потреба ТЕ на опалення'!AM52</f>
        <v>229.904</v>
      </c>
      <c r="E26" s="20">
        <f>'[3]Річна потреба ТЕ на опалення'!AN52</f>
        <v>1742.817</v>
      </c>
      <c r="F26" s="20">
        <f>'[3]Річна потреба ТЕ на опалення'!AO52</f>
        <v>332.06200000000001</v>
      </c>
      <c r="G26" s="23">
        <v>1398</v>
      </c>
      <c r="H26" s="207">
        <v>7.1900000000000006E-2</v>
      </c>
      <c r="I26" s="92">
        <f>J26+K26+L26</f>
        <v>178.54900000000001</v>
      </c>
      <c r="J26" s="20">
        <f>[4]січ2020!J26+[4]лют2020!J26+[4]берез2020!J26+[4]квіт2020!J26+[4]жовт2019!J26+[4]листопад2019!J26+[4]груд2019!J26</f>
        <v>17.811</v>
      </c>
      <c r="K26" s="20">
        <f>[4]січ2020!K26+[4]лют2020!K26+[4]берез2020!K26+[4]квіт2020!K26+[4]жовт2019!K26+[4]листопад2019!K26+[4]груд2019!K26</f>
        <v>135.01499999999999</v>
      </c>
      <c r="L26" s="20">
        <f>[4]січ2020!L26+[4]лют2020!L26+[4]берез2020!L26+[4]квіт2020!L26+[4]жовт2019!L26+[4]листопад2019!L26+[4]груд2019!L26</f>
        <v>25.722999999999999</v>
      </c>
      <c r="M26" s="92">
        <f>N26+O26+P26</f>
        <v>2483.3319999999999</v>
      </c>
      <c r="N26" s="20">
        <f t="shared" si="12"/>
        <v>247.715</v>
      </c>
      <c r="O26" s="20">
        <f t="shared" si="12"/>
        <v>1877.8320000000001</v>
      </c>
      <c r="P26" s="20">
        <f t="shared" si="12"/>
        <v>357.78500000000003</v>
      </c>
      <c r="Q26" s="66">
        <f t="shared" si="0"/>
        <v>55.862000000000002</v>
      </c>
      <c r="R26" s="66">
        <f t="shared" si="8"/>
        <v>2539.194</v>
      </c>
      <c r="S26" s="23">
        <f t="shared" si="8"/>
        <v>253.28700000000001</v>
      </c>
      <c r="T26" s="23">
        <f t="shared" si="8"/>
        <v>1920.0740000000001</v>
      </c>
      <c r="U26" s="23">
        <f t="shared" si="8"/>
        <v>365.83300000000003</v>
      </c>
      <c r="V26" s="33">
        <f t="shared" si="9"/>
        <v>0</v>
      </c>
      <c r="W26" s="23"/>
      <c r="X26" s="23"/>
      <c r="Y26" s="66">
        <f t="shared" si="10"/>
        <v>2596.3130000000001</v>
      </c>
      <c r="Z26" s="23">
        <f t="shared" si="10"/>
        <v>2849.6</v>
      </c>
      <c r="AA26" s="23">
        <f t="shared" si="10"/>
        <v>2179.058</v>
      </c>
      <c r="AB26" s="23">
        <f t="shared" si="10"/>
        <v>2329.0990000000002</v>
      </c>
      <c r="AC26" s="33">
        <f t="shared" si="11"/>
        <v>-4761.4399999999996</v>
      </c>
    </row>
    <row r="27" spans="1:29" s="3" customFormat="1" ht="15.75">
      <c r="A27" s="22">
        <v>14</v>
      </c>
      <c r="B27" s="21" t="s">
        <v>169</v>
      </c>
      <c r="C27" s="92">
        <f t="shared" si="2"/>
        <v>417.16500000000002</v>
      </c>
      <c r="D27" s="20">
        <f>'[3]Річна потреба ТЕ на опалення'!Q26</f>
        <v>0</v>
      </c>
      <c r="E27" s="20">
        <f>'[3]Річна потреба ТЕ на опалення'!AN53</f>
        <v>417.16500000000002</v>
      </c>
      <c r="F27" s="20">
        <f>'[3]Річна потреба ТЕ на опалення'!S26</f>
        <v>0</v>
      </c>
      <c r="G27" s="23"/>
      <c r="H27" s="207"/>
      <c r="I27" s="66">
        <f t="shared" si="3"/>
        <v>0</v>
      </c>
      <c r="J27" s="23">
        <f t="shared" si="3"/>
        <v>0</v>
      </c>
      <c r="K27" s="23">
        <f t="shared" si="3"/>
        <v>0</v>
      </c>
      <c r="L27" s="23">
        <f t="shared" si="3"/>
        <v>0</v>
      </c>
      <c r="M27" s="66">
        <f t="shared" si="4"/>
        <v>417.16500000000002</v>
      </c>
      <c r="N27" s="23">
        <f t="shared" si="5"/>
        <v>0</v>
      </c>
      <c r="O27" s="23">
        <f t="shared" si="6"/>
        <v>417.16500000000002</v>
      </c>
      <c r="P27" s="23">
        <f t="shared" si="7"/>
        <v>0</v>
      </c>
      <c r="Q27" s="66">
        <f t="shared" si="0"/>
        <v>9.3840000000000003</v>
      </c>
      <c r="R27" s="66">
        <f t="shared" si="8"/>
        <v>426.54899999999998</v>
      </c>
      <c r="S27" s="23">
        <f t="shared" si="8"/>
        <v>0</v>
      </c>
      <c r="T27" s="23">
        <f t="shared" si="8"/>
        <v>426.54899999999998</v>
      </c>
      <c r="U27" s="23">
        <f t="shared" si="8"/>
        <v>0</v>
      </c>
      <c r="V27" s="33">
        <f t="shared" si="9"/>
        <v>0</v>
      </c>
      <c r="W27" s="23"/>
      <c r="X27" s="23"/>
      <c r="Y27" s="66">
        <f t="shared" si="10"/>
        <v>436.14400000000001</v>
      </c>
      <c r="Z27" s="23">
        <f t="shared" si="10"/>
        <v>436.14400000000001</v>
      </c>
      <c r="AA27" s="23">
        <f t="shared" si="10"/>
        <v>426.54899999999998</v>
      </c>
      <c r="AB27" s="23">
        <f t="shared" si="10"/>
        <v>436.14400000000001</v>
      </c>
      <c r="AC27" s="33">
        <f t="shared" si="11"/>
        <v>-862.69</v>
      </c>
    </row>
    <row r="28" spans="1:29" s="3" customFormat="1" ht="15.75">
      <c r="A28" s="22">
        <v>15</v>
      </c>
      <c r="B28" s="21" t="s">
        <v>362</v>
      </c>
      <c r="C28" s="92">
        <f t="shared" si="2"/>
        <v>593.29899999999998</v>
      </c>
      <c r="D28" s="20">
        <f>'[3]Річна потреба ТЕ на опалення'!Q27</f>
        <v>0</v>
      </c>
      <c r="E28" s="20">
        <f>'[3]Річна потреба ТЕ на опалення'!AN54</f>
        <v>593.29899999999998</v>
      </c>
      <c r="F28" s="20">
        <f>'[3]Річна потреба ТЕ на опалення'!S27</f>
        <v>0</v>
      </c>
      <c r="G28" s="23">
        <v>7.5</v>
      </c>
      <c r="H28" s="207">
        <v>8.0000000000000004E-4</v>
      </c>
      <c r="I28" s="66">
        <f t="shared" si="3"/>
        <v>0.47499999999999998</v>
      </c>
      <c r="J28" s="23">
        <f t="shared" si="3"/>
        <v>0</v>
      </c>
      <c r="K28" s="23">
        <f t="shared" si="3"/>
        <v>0.47499999999999998</v>
      </c>
      <c r="L28" s="23">
        <f t="shared" si="3"/>
        <v>0</v>
      </c>
      <c r="M28" s="66">
        <f t="shared" si="4"/>
        <v>593.774</v>
      </c>
      <c r="N28" s="23">
        <f t="shared" si="5"/>
        <v>0</v>
      </c>
      <c r="O28" s="23">
        <f t="shared" si="6"/>
        <v>593.774</v>
      </c>
      <c r="P28" s="23">
        <f t="shared" si="7"/>
        <v>0</v>
      </c>
      <c r="Q28" s="66">
        <f t="shared" si="0"/>
        <v>13.356999999999999</v>
      </c>
      <c r="R28" s="66">
        <f t="shared" si="8"/>
        <v>607.13099999999997</v>
      </c>
      <c r="S28" s="23">
        <f t="shared" si="8"/>
        <v>0</v>
      </c>
      <c r="T28" s="23">
        <f t="shared" si="8"/>
        <v>607.13099999999997</v>
      </c>
      <c r="U28" s="23">
        <f t="shared" si="8"/>
        <v>0</v>
      </c>
      <c r="V28" s="33">
        <f t="shared" si="9"/>
        <v>0</v>
      </c>
      <c r="W28" s="23"/>
      <c r="X28" s="23"/>
      <c r="Y28" s="66">
        <f t="shared" si="10"/>
        <v>620.78800000000001</v>
      </c>
      <c r="Z28" s="23">
        <f t="shared" si="10"/>
        <v>620.78800000000001</v>
      </c>
      <c r="AA28" s="23">
        <f t="shared" si="10"/>
        <v>607.13099999999997</v>
      </c>
      <c r="AB28" s="23">
        <f t="shared" si="10"/>
        <v>620.78800000000001</v>
      </c>
      <c r="AC28" s="33">
        <f t="shared" si="11"/>
        <v>-1227.92</v>
      </c>
    </row>
    <row r="29" spans="1:29" s="3" customFormat="1" ht="15.75">
      <c r="A29" s="22">
        <v>16</v>
      </c>
      <c r="B29" s="21" t="s">
        <v>226</v>
      </c>
      <c r="C29" s="92">
        <f>D29+E29+F29</f>
        <v>398.62400000000002</v>
      </c>
      <c r="D29" s="20">
        <f>'[3]Річна потреба ТЕ на опалення'!T55</f>
        <v>0</v>
      </c>
      <c r="E29" s="20">
        <f>'[3]Річна потреба ТЕ на опалення'!AN55+'[3]Річна потреба ТЕ на опалення'!AN56</f>
        <v>398.62400000000002</v>
      </c>
      <c r="F29" s="20">
        <f>'[3]Річна потреба ТЕ на опалення'!S28</f>
        <v>0</v>
      </c>
      <c r="G29" s="23"/>
      <c r="H29" s="207"/>
      <c r="I29" s="66">
        <f t="shared" si="3"/>
        <v>0</v>
      </c>
      <c r="J29" s="23">
        <f t="shared" si="3"/>
        <v>0</v>
      </c>
      <c r="K29" s="23">
        <f t="shared" si="3"/>
        <v>0</v>
      </c>
      <c r="L29" s="23">
        <f t="shared" si="3"/>
        <v>0</v>
      </c>
      <c r="M29" s="66">
        <f t="shared" si="4"/>
        <v>398.62400000000002</v>
      </c>
      <c r="N29" s="23">
        <f t="shared" si="5"/>
        <v>0</v>
      </c>
      <c r="O29" s="23">
        <f t="shared" si="6"/>
        <v>398.62400000000002</v>
      </c>
      <c r="P29" s="23">
        <f t="shared" si="7"/>
        <v>0</v>
      </c>
      <c r="Q29" s="66">
        <f t="shared" si="0"/>
        <v>8.9670000000000005</v>
      </c>
      <c r="R29" s="66">
        <f t="shared" si="8"/>
        <v>407.59100000000001</v>
      </c>
      <c r="S29" s="23">
        <f t="shared" si="8"/>
        <v>0</v>
      </c>
      <c r="T29" s="23">
        <f t="shared" si="8"/>
        <v>407.59100000000001</v>
      </c>
      <c r="U29" s="23">
        <f t="shared" si="8"/>
        <v>0</v>
      </c>
      <c r="V29" s="33">
        <f t="shared" si="9"/>
        <v>0</v>
      </c>
      <c r="W29" s="23"/>
      <c r="X29" s="23"/>
      <c r="Y29" s="66">
        <f t="shared" si="10"/>
        <v>416.76</v>
      </c>
      <c r="Z29" s="23">
        <f t="shared" si="10"/>
        <v>416.76</v>
      </c>
      <c r="AA29" s="23">
        <f t="shared" si="10"/>
        <v>407.59100000000001</v>
      </c>
      <c r="AB29" s="23">
        <f t="shared" si="10"/>
        <v>416.76</v>
      </c>
      <c r="AC29" s="33">
        <f t="shared" si="11"/>
        <v>-824.35</v>
      </c>
    </row>
    <row r="30" spans="1:29" s="3" customFormat="1" ht="15.75">
      <c r="A30" s="22">
        <v>17</v>
      </c>
      <c r="B30" s="21" t="s">
        <v>227</v>
      </c>
      <c r="C30" s="92">
        <f t="shared" si="2"/>
        <v>380.08300000000003</v>
      </c>
      <c r="D30" s="20">
        <f>'[3]Річна потреба ТЕ на опалення'!T56</f>
        <v>0</v>
      </c>
      <c r="E30" s="20">
        <f>'[3]Річна потреба ТЕ на опалення'!AN57</f>
        <v>380.08300000000003</v>
      </c>
      <c r="F30" s="20">
        <f>'[3]Річна потреба ТЕ на опалення'!S29</f>
        <v>0</v>
      </c>
      <c r="G30" s="23"/>
      <c r="H30" s="207"/>
      <c r="I30" s="66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66">
        <f t="shared" si="4"/>
        <v>380.08300000000003</v>
      </c>
      <c r="N30" s="23">
        <f t="shared" si="5"/>
        <v>0</v>
      </c>
      <c r="O30" s="23">
        <f t="shared" si="6"/>
        <v>380.08300000000003</v>
      </c>
      <c r="P30" s="23">
        <f t="shared" si="7"/>
        <v>0</v>
      </c>
      <c r="Q30" s="66">
        <f t="shared" si="0"/>
        <v>8.5500000000000007</v>
      </c>
      <c r="R30" s="66">
        <f t="shared" si="8"/>
        <v>388.63299999999998</v>
      </c>
      <c r="S30" s="23">
        <f t="shared" si="8"/>
        <v>0</v>
      </c>
      <c r="T30" s="23">
        <f t="shared" si="8"/>
        <v>388.63299999999998</v>
      </c>
      <c r="U30" s="23">
        <f t="shared" si="8"/>
        <v>0</v>
      </c>
      <c r="V30" s="33">
        <f t="shared" si="9"/>
        <v>0</v>
      </c>
      <c r="W30" s="23"/>
      <c r="X30" s="23"/>
      <c r="Y30" s="66">
        <f t="shared" si="10"/>
        <v>397.375</v>
      </c>
      <c r="Z30" s="23">
        <f t="shared" si="10"/>
        <v>397.375</v>
      </c>
      <c r="AA30" s="23">
        <f t="shared" si="10"/>
        <v>388.63299999999998</v>
      </c>
      <c r="AB30" s="23">
        <f t="shared" si="10"/>
        <v>397.375</v>
      </c>
      <c r="AC30" s="33">
        <f t="shared" si="11"/>
        <v>-786.01</v>
      </c>
    </row>
    <row r="31" spans="1:29" s="3" customFormat="1" ht="15.75">
      <c r="A31" s="22">
        <v>18</v>
      </c>
      <c r="B31" s="21" t="s">
        <v>363</v>
      </c>
      <c r="C31" s="92">
        <f t="shared" si="2"/>
        <v>118.661</v>
      </c>
      <c r="D31" s="20">
        <f>'[3]Річна потреба ТЕ на опалення'!T57</f>
        <v>0</v>
      </c>
      <c r="E31" s="20">
        <f>'[3]Річна потреба ТЕ на опалення'!AN58+'[3]Річна потреба ТЕ на опалення'!AN59</f>
        <v>118.661</v>
      </c>
      <c r="F31" s="20">
        <f>'[3]Річна потреба ТЕ на опалення'!S30</f>
        <v>0</v>
      </c>
      <c r="G31" s="23"/>
      <c r="H31" s="207"/>
      <c r="I31" s="66">
        <f t="shared" si="3"/>
        <v>0</v>
      </c>
      <c r="J31" s="23">
        <f t="shared" si="3"/>
        <v>0</v>
      </c>
      <c r="K31" s="23">
        <f t="shared" si="3"/>
        <v>0</v>
      </c>
      <c r="L31" s="23">
        <f t="shared" si="3"/>
        <v>0</v>
      </c>
      <c r="M31" s="66">
        <f t="shared" si="4"/>
        <v>118.661</v>
      </c>
      <c r="N31" s="23">
        <f t="shared" si="5"/>
        <v>0</v>
      </c>
      <c r="O31" s="23">
        <f t="shared" si="6"/>
        <v>118.661</v>
      </c>
      <c r="P31" s="23">
        <f t="shared" si="7"/>
        <v>0</v>
      </c>
      <c r="Q31" s="66">
        <f t="shared" si="0"/>
        <v>2.669</v>
      </c>
      <c r="R31" s="66">
        <f t="shared" si="8"/>
        <v>121.33</v>
      </c>
      <c r="S31" s="23">
        <f t="shared" si="8"/>
        <v>0</v>
      </c>
      <c r="T31" s="23">
        <f t="shared" si="8"/>
        <v>121.33</v>
      </c>
      <c r="U31" s="23">
        <f t="shared" si="8"/>
        <v>0</v>
      </c>
      <c r="V31" s="33">
        <f t="shared" si="9"/>
        <v>0</v>
      </c>
      <c r="W31" s="23"/>
      <c r="X31" s="23"/>
      <c r="Y31" s="66">
        <f t="shared" si="10"/>
        <v>124.059</v>
      </c>
      <c r="Z31" s="23">
        <f t="shared" si="10"/>
        <v>124.059</v>
      </c>
      <c r="AA31" s="23">
        <f t="shared" si="10"/>
        <v>121.33</v>
      </c>
      <c r="AB31" s="23">
        <f t="shared" si="10"/>
        <v>124.059</v>
      </c>
      <c r="AC31" s="33">
        <f t="shared" si="11"/>
        <v>-245.39</v>
      </c>
    </row>
    <row r="32" spans="1:29" s="3" customFormat="1" ht="15.75">
      <c r="A32" s="22">
        <v>19</v>
      </c>
      <c r="B32" s="21" t="s">
        <v>228</v>
      </c>
      <c r="C32" s="92">
        <f t="shared" si="2"/>
        <v>961.88499999999999</v>
      </c>
      <c r="D32" s="20">
        <f>'[3]Річна потреба ТЕ на опалення'!T58</f>
        <v>0</v>
      </c>
      <c r="E32" s="20">
        <f>'[3]Річна потреба ТЕ на опалення'!AN60+'[3]Річна потреба ТЕ на опалення'!AN61+'[3]Річна потреба ТЕ на опалення'!AN62</f>
        <v>961.88499999999999</v>
      </c>
      <c r="F32" s="20">
        <f>'[3]Річна потреба ТЕ на опалення'!S31</f>
        <v>0</v>
      </c>
      <c r="G32" s="23"/>
      <c r="H32" s="207"/>
      <c r="I32" s="66">
        <f t="shared" si="3"/>
        <v>0</v>
      </c>
      <c r="J32" s="23">
        <f t="shared" si="3"/>
        <v>0</v>
      </c>
      <c r="K32" s="23">
        <f t="shared" si="3"/>
        <v>0</v>
      </c>
      <c r="L32" s="23">
        <f t="shared" si="3"/>
        <v>0</v>
      </c>
      <c r="M32" s="66">
        <f t="shared" si="4"/>
        <v>961.88499999999999</v>
      </c>
      <c r="N32" s="23">
        <f t="shared" si="5"/>
        <v>0</v>
      </c>
      <c r="O32" s="23">
        <f t="shared" si="6"/>
        <v>961.88499999999999</v>
      </c>
      <c r="P32" s="23">
        <f t="shared" si="7"/>
        <v>0</v>
      </c>
      <c r="Q32" s="66">
        <f t="shared" si="0"/>
        <v>21.637</v>
      </c>
      <c r="R32" s="66">
        <f t="shared" si="8"/>
        <v>983.52200000000005</v>
      </c>
      <c r="S32" s="23">
        <f t="shared" si="8"/>
        <v>0</v>
      </c>
      <c r="T32" s="23">
        <f t="shared" si="8"/>
        <v>983.52200000000005</v>
      </c>
      <c r="U32" s="23">
        <f t="shared" si="8"/>
        <v>0</v>
      </c>
      <c r="V32" s="33">
        <f t="shared" si="9"/>
        <v>0</v>
      </c>
      <c r="W32" s="23"/>
      <c r="X32" s="23"/>
      <c r="Y32" s="66">
        <f t="shared" si="10"/>
        <v>1005.646</v>
      </c>
      <c r="Z32" s="23">
        <f t="shared" si="10"/>
        <v>1005.646</v>
      </c>
      <c r="AA32" s="23">
        <f t="shared" si="10"/>
        <v>983.52200000000005</v>
      </c>
      <c r="AB32" s="23">
        <f t="shared" si="10"/>
        <v>1005.646</v>
      </c>
      <c r="AC32" s="33">
        <f t="shared" si="11"/>
        <v>-1989.17</v>
      </c>
    </row>
    <row r="33" spans="1:29" s="3" customFormat="1" ht="16.5" thickBot="1">
      <c r="A33" s="25">
        <v>20</v>
      </c>
      <c r="B33" s="21" t="s">
        <v>229</v>
      </c>
      <c r="C33" s="92">
        <f t="shared" si="2"/>
        <v>384.161</v>
      </c>
      <c r="D33" s="20">
        <f>'[3]Річна потреба ТЕ на опалення'!T59</f>
        <v>0</v>
      </c>
      <c r="E33" s="20">
        <f>'[3]Річна потреба ТЕ на опалення'!AN63+'[3]Річна потреба ТЕ на опалення'!AN64</f>
        <v>384.161</v>
      </c>
      <c r="F33" s="20">
        <f>'[3]Річна потреба ТЕ на опалення'!S32</f>
        <v>0</v>
      </c>
      <c r="G33" s="23">
        <v>21</v>
      </c>
      <c r="H33" s="207">
        <v>2.0999999999999999E-3</v>
      </c>
      <c r="I33" s="66">
        <f t="shared" si="3"/>
        <v>0.80800000000000005</v>
      </c>
      <c r="J33" s="23">
        <f t="shared" si="3"/>
        <v>0</v>
      </c>
      <c r="K33" s="23">
        <f t="shared" si="3"/>
        <v>0.80800000000000005</v>
      </c>
      <c r="L33" s="23">
        <f t="shared" si="3"/>
        <v>0</v>
      </c>
      <c r="M33" s="66">
        <f t="shared" si="4"/>
        <v>384.96899999999999</v>
      </c>
      <c r="N33" s="23">
        <f t="shared" si="5"/>
        <v>0</v>
      </c>
      <c r="O33" s="23">
        <f t="shared" si="6"/>
        <v>384.96899999999999</v>
      </c>
      <c r="P33" s="23">
        <f t="shared" si="7"/>
        <v>0</v>
      </c>
      <c r="Q33" s="66">
        <f t="shared" si="0"/>
        <v>8.66</v>
      </c>
      <c r="R33" s="66">
        <f t="shared" si="8"/>
        <v>393.62900000000002</v>
      </c>
      <c r="S33" s="23">
        <f t="shared" si="8"/>
        <v>0</v>
      </c>
      <c r="T33" s="23">
        <f t="shared" si="8"/>
        <v>393.62900000000002</v>
      </c>
      <c r="U33" s="23">
        <f t="shared" si="8"/>
        <v>0</v>
      </c>
      <c r="V33" s="33">
        <f t="shared" si="9"/>
        <v>0</v>
      </c>
      <c r="W33" s="30"/>
      <c r="X33" s="30"/>
      <c r="Y33" s="99">
        <f t="shared" si="10"/>
        <v>402.48399999999998</v>
      </c>
      <c r="Z33" s="30">
        <f t="shared" si="10"/>
        <v>402.48399999999998</v>
      </c>
      <c r="AA33" s="30">
        <f t="shared" si="10"/>
        <v>393.62900000000002</v>
      </c>
      <c r="AB33" s="30">
        <f t="shared" si="10"/>
        <v>402.48399999999998</v>
      </c>
      <c r="AC33" s="33">
        <f t="shared" si="11"/>
        <v>-796.11</v>
      </c>
    </row>
    <row r="34" spans="1:29" s="3" customFormat="1" ht="27.75" customHeight="1" thickBot="1">
      <c r="A34" s="26">
        <v>21</v>
      </c>
      <c r="B34" s="27" t="s">
        <v>230</v>
      </c>
      <c r="C34" s="92">
        <f t="shared" si="2"/>
        <v>83.988</v>
      </c>
      <c r="D34" s="20">
        <f>'[3]Річна потреба ТЕ на опалення'!T60</f>
        <v>0</v>
      </c>
      <c r="E34" s="20">
        <f>'[3]Річна потреба ТЕ на опалення'!AN65</f>
        <v>83.988</v>
      </c>
      <c r="F34" s="20">
        <f>'[3]Річна потреба ТЕ на опалення'!S33</f>
        <v>0</v>
      </c>
      <c r="G34" s="30">
        <v>38.5</v>
      </c>
      <c r="H34" s="31">
        <v>3.8999999999999998E-3</v>
      </c>
      <c r="I34" s="99">
        <f t="shared" si="3"/>
        <v>0.32900000000000001</v>
      </c>
      <c r="J34" s="30">
        <f t="shared" si="3"/>
        <v>0</v>
      </c>
      <c r="K34" s="30">
        <f t="shared" si="3"/>
        <v>0.32900000000000001</v>
      </c>
      <c r="L34" s="30">
        <f t="shared" si="3"/>
        <v>0</v>
      </c>
      <c r="M34" s="99">
        <f t="shared" si="4"/>
        <v>84.316999999999993</v>
      </c>
      <c r="N34" s="30">
        <f t="shared" si="5"/>
        <v>0</v>
      </c>
      <c r="O34" s="30">
        <f t="shared" si="6"/>
        <v>84.316999999999993</v>
      </c>
      <c r="P34" s="30">
        <f t="shared" si="7"/>
        <v>0</v>
      </c>
      <c r="Q34" s="66">
        <f t="shared" si="0"/>
        <v>1.897</v>
      </c>
      <c r="R34" s="66">
        <f t="shared" si="8"/>
        <v>86.213999999999999</v>
      </c>
      <c r="S34" s="23">
        <f t="shared" si="8"/>
        <v>0</v>
      </c>
      <c r="T34" s="23">
        <f t="shared" si="8"/>
        <v>86.213999999999999</v>
      </c>
      <c r="U34" s="23">
        <f t="shared" si="8"/>
        <v>0</v>
      </c>
      <c r="V34" s="33">
        <f t="shared" si="9"/>
        <v>0</v>
      </c>
      <c r="W34" s="7"/>
      <c r="X34" s="7"/>
      <c r="Y34" s="7">
        <f>SUM(Y14:Y33)</f>
        <v>10977.821</v>
      </c>
      <c r="Z34" s="7">
        <f>SUM(Z14:Z33)</f>
        <v>11458.800999999999</v>
      </c>
      <c r="AA34" s="7">
        <f>SUM(AA14:AA33)</f>
        <v>10082.848</v>
      </c>
      <c r="AB34" s="7">
        <f>SUM(AB14:AB33)</f>
        <v>10471.08</v>
      </c>
      <c r="AC34" s="33">
        <f t="shared" si="11"/>
        <v>-21034.91</v>
      </c>
    </row>
    <row r="35" spans="1:29" s="3" customFormat="1" ht="16.5" thickBot="1">
      <c r="A35" s="4"/>
      <c r="B35" s="4" t="s">
        <v>161</v>
      </c>
      <c r="C35" s="7">
        <f>SUM(C14:C34)</f>
        <v>10195.200000000001</v>
      </c>
      <c r="D35" s="7">
        <f>SUM(D14:D34)</f>
        <v>435.70699999999999</v>
      </c>
      <c r="E35" s="7">
        <f>SUM(E14:E34)</f>
        <v>9152.8760000000002</v>
      </c>
      <c r="F35" s="7">
        <f>SUM(F14:F34)</f>
        <v>606.61699999999996</v>
      </c>
      <c r="G35" s="7">
        <f>SUM(G14:G34)</f>
        <v>3369.5</v>
      </c>
      <c r="H35" s="9">
        <f>I35/M35</f>
        <v>3.6799999999999999E-2</v>
      </c>
      <c r="I35" s="433">
        <f t="shared" ref="I35:Q35" si="13">SUM(I14:I34)</f>
        <v>389.22800000000001</v>
      </c>
      <c r="J35" s="433">
        <f t="shared" si="13"/>
        <v>34.691000000000003</v>
      </c>
      <c r="K35" s="433">
        <f t="shared" si="13"/>
        <v>311.488</v>
      </c>
      <c r="L35" s="433">
        <f t="shared" si="13"/>
        <v>43.048999999999999</v>
      </c>
      <c r="M35" s="7">
        <f t="shared" si="13"/>
        <v>10584.428</v>
      </c>
      <c r="N35" s="7">
        <f t="shared" si="13"/>
        <v>470.39800000000002</v>
      </c>
      <c r="O35" s="7">
        <f t="shared" si="13"/>
        <v>9464.3639999999996</v>
      </c>
      <c r="P35" s="7">
        <f t="shared" si="13"/>
        <v>649.66600000000005</v>
      </c>
      <c r="Q35" s="7">
        <f t="shared" si="13"/>
        <v>238.095</v>
      </c>
      <c r="R35" s="7">
        <f>SUM(R14:R34)</f>
        <v>10822.522999999999</v>
      </c>
      <c r="S35" s="7">
        <f>SUM(S14:S34)</f>
        <v>480.97899999999998</v>
      </c>
      <c r="T35" s="7">
        <f>SUM(T14:T34)</f>
        <v>9677.2639999999992</v>
      </c>
      <c r="U35" s="7">
        <f>SUM(U14:U34)</f>
        <v>664.28</v>
      </c>
      <c r="V35" s="33">
        <f t="shared" si="9"/>
        <v>0</v>
      </c>
      <c r="Y35" s="1"/>
    </row>
    <row r="36" spans="1:29" s="3" customFormat="1" ht="15.75">
      <c r="C36" s="210">
        <f>C35-C17</f>
        <v>10130.307000000001</v>
      </c>
      <c r="E36" s="3">
        <v>1848.6980000000001</v>
      </c>
      <c r="I36" s="210">
        <f>I35-I17</f>
        <v>389.09899999999999</v>
      </c>
      <c r="J36" s="1"/>
      <c r="K36" s="1"/>
      <c r="L36" s="1"/>
      <c r="M36" s="210">
        <f>M35-M17</f>
        <v>10519.406000000001</v>
      </c>
      <c r="Q36" s="1"/>
      <c r="R36" s="1"/>
      <c r="T36" s="3">
        <v>1848.6980000000001</v>
      </c>
      <c r="Y36" s="1"/>
    </row>
    <row r="37" spans="1:29" s="3" customFormat="1" ht="15.75">
      <c r="C37" s="1"/>
      <c r="D37" s="57"/>
      <c r="E37" s="57"/>
      <c r="F37" s="57"/>
      <c r="I37" s="1"/>
      <c r="J37" s="1"/>
      <c r="K37" s="1"/>
      <c r="L37" s="1"/>
      <c r="M37" s="1"/>
      <c r="Q37" s="1"/>
      <c r="R37" s="1"/>
      <c r="W37" s="34"/>
      <c r="X37" s="34"/>
      <c r="Y37" s="385" t="e">
        <f>[3]Січень!R35+[3]Лютий!Y34+[3]Березень!Y34+[3]Квітень!Y34+[3]Жовтень!Y34+[3]Листопад!#REF!+[3]Грудень!Y34</f>
        <v>#REF!</v>
      </c>
      <c r="Z37" s="385" t="e">
        <f>[3]Січень!S35+[3]Лютий!Z34+[3]Березень!Z34+[3]Квітень!Z34+[3]Жовтень!Z34+[3]Листопад!#REF!+[3]Грудень!Z34</f>
        <v>#REF!</v>
      </c>
      <c r="AA37" s="385" t="e">
        <f>[3]Січень!T35+[3]Лютий!AA34+[3]Березень!AA34+[3]Квітень!AA34+[3]Жовтень!AA34+[3]Листопад!#REF!+[3]Грудень!AA34</f>
        <v>#REF!</v>
      </c>
      <c r="AB37" s="385" t="e">
        <f>[3]Січень!U35+[3]Лютий!AB34+[3]Березень!AB34+[3]Квітень!AB34+[3]Жовтень!AB34+[3]Листопад!#REF!+[3]Грудень!AB34</f>
        <v>#REF!</v>
      </c>
    </row>
    <row r="38" spans="1:29" s="3" customFormat="1" ht="15.75">
      <c r="B38" s="469" t="s">
        <v>104</v>
      </c>
      <c r="C38" s="470">
        <f>D38+E38+F38</f>
        <v>10519.4</v>
      </c>
      <c r="D38" s="471">
        <f>D35+J35</f>
        <v>470.4</v>
      </c>
      <c r="E38" s="471">
        <f>E35+K35</f>
        <v>9464.36</v>
      </c>
      <c r="F38" s="471">
        <f>F35-F17+L35-L17</f>
        <v>584.64</v>
      </c>
      <c r="I38" s="1"/>
      <c r="J38" s="1"/>
      <c r="K38" s="1"/>
      <c r="L38" s="1"/>
      <c r="M38" s="210">
        <f>M35-M22-M23</f>
        <v>10523.615</v>
      </c>
      <c r="O38" s="34">
        <f>O35-O22-O23</f>
        <v>9403.5509999999995</v>
      </c>
      <c r="Q38" s="383">
        <f>R35-R17-R22-R23</f>
        <v>10693.857</v>
      </c>
      <c r="R38" s="210"/>
      <c r="T38" s="34">
        <f>S35+T35+U35</f>
        <v>10822.522999999999</v>
      </c>
      <c r="Y38" s="385" t="e">
        <f>Y34-Y37</f>
        <v>#REF!</v>
      </c>
      <c r="Z38" s="385" t="e">
        <f>Z34-Z37</f>
        <v>#REF!</v>
      </c>
      <c r="AA38" s="385" t="e">
        <f>AA34-AA37</f>
        <v>#REF!</v>
      </c>
      <c r="AB38" s="385" t="e">
        <f>AB34-AB37</f>
        <v>#REF!</v>
      </c>
    </row>
    <row r="39" spans="1:29" s="3" customFormat="1" ht="15.75">
      <c r="C39" s="1"/>
      <c r="E39" s="3">
        <v>1848.6980000000001</v>
      </c>
      <c r="H39" s="56"/>
      <c r="I39" s="1"/>
      <c r="J39" s="1"/>
      <c r="K39" s="1"/>
      <c r="L39" s="1"/>
      <c r="M39" s="1"/>
      <c r="Q39" s="1"/>
      <c r="R39" s="210">
        <f>R35-R22-R23</f>
        <v>10760.342000000001</v>
      </c>
      <c r="T39" s="34">
        <f>T35-T22-T23</f>
        <v>9615.0830000000005</v>
      </c>
      <c r="Y39" s="1"/>
    </row>
    <row r="40" spans="1:29" ht="15.75">
      <c r="A40" s="3"/>
      <c r="B40" s="3"/>
      <c r="C40" s="472">
        <f>SUM(D40:F40)</f>
        <v>12368.1</v>
      </c>
      <c r="D40" s="472">
        <f>D38</f>
        <v>470.4</v>
      </c>
      <c r="E40" s="472">
        <f>SUM(E38:E39)</f>
        <v>11313.06</v>
      </c>
      <c r="F40" s="472">
        <f>F38</f>
        <v>584.64</v>
      </c>
      <c r="G40" s="3" t="s">
        <v>100</v>
      </c>
      <c r="H40" s="56"/>
      <c r="I40" s="1"/>
      <c r="J40" s="1"/>
      <c r="K40" s="1"/>
      <c r="L40" s="1"/>
      <c r="M40" s="1"/>
      <c r="N40" s="3"/>
      <c r="O40" s="3"/>
      <c r="P40" s="3"/>
      <c r="Q40" s="210">
        <f>R35-R22-R23</f>
        <v>10760.342000000001</v>
      </c>
      <c r="R40" s="1"/>
      <c r="S40" s="3"/>
      <c r="T40" s="3"/>
      <c r="U40" s="3"/>
      <c r="V40" s="3"/>
      <c r="Y40" s="386"/>
    </row>
    <row r="41" spans="1:29" ht="15.75">
      <c r="B41" s="12" t="s">
        <v>95</v>
      </c>
      <c r="R41" s="210"/>
      <c r="U41" s="181"/>
      <c r="Y41" s="210">
        <f>Y34-Y21-Y22</f>
        <v>10766.341</v>
      </c>
      <c r="AA41" s="185">
        <f>AA34-AA21-AA22</f>
        <v>9876.0210000000006</v>
      </c>
    </row>
    <row r="42" spans="1:29">
      <c r="R42" s="2"/>
      <c r="U42" s="181"/>
      <c r="Y42" s="386"/>
    </row>
    <row r="43" spans="1:29">
      <c r="R43" s="2"/>
      <c r="U43" s="181"/>
    </row>
    <row r="44" spans="1:29">
      <c r="R44" s="2"/>
      <c r="U44" s="181"/>
      <c r="Y44" s="387">
        <f>Y41-Y17</f>
        <v>10698.36</v>
      </c>
    </row>
    <row r="45" spans="1:29" ht="15">
      <c r="H45" s="384">
        <f>J35/N35</f>
        <v>7.3700000000000002E-2</v>
      </c>
      <c r="R45" s="2"/>
      <c r="U45" s="181"/>
    </row>
    <row r="46" spans="1:29" ht="15">
      <c r="H46" s="384">
        <f>K35/O35</f>
        <v>3.2899999999999999E-2</v>
      </c>
      <c r="R46" s="2"/>
      <c r="U46" s="181"/>
    </row>
    <row r="47" spans="1:29" ht="15">
      <c r="H47" s="384">
        <f>L35/P35</f>
        <v>6.6299999999999998E-2</v>
      </c>
      <c r="R47" s="2"/>
      <c r="U47" s="181"/>
    </row>
    <row r="48" spans="1:29">
      <c r="R48" s="2"/>
      <c r="U48" s="181"/>
    </row>
  </sheetData>
  <mergeCells count="30">
    <mergeCell ref="AA7:AA12"/>
    <mergeCell ref="AB7:AB12"/>
    <mergeCell ref="W7:W12"/>
    <mergeCell ref="X7:X12"/>
    <mergeCell ref="Y7:Y12"/>
    <mergeCell ref="Z7:Z12"/>
    <mergeCell ref="C2:S2"/>
    <mergeCell ref="G5:M5"/>
    <mergeCell ref="G7:G12"/>
    <mergeCell ref="H7:H12"/>
    <mergeCell ref="C3:S3"/>
    <mergeCell ref="F7:F12"/>
    <mergeCell ref="T7:T12"/>
    <mergeCell ref="U7:U12"/>
    <mergeCell ref="M7:M12"/>
    <mergeCell ref="N7:N12"/>
    <mergeCell ref="O7:O12"/>
    <mergeCell ref="A7:A12"/>
    <mergeCell ref="B7:B12"/>
    <mergeCell ref="C7:C12"/>
    <mergeCell ref="D7:D12"/>
    <mergeCell ref="E7:E12"/>
    <mergeCell ref="P7:P12"/>
    <mergeCell ref="Q7:Q12"/>
    <mergeCell ref="R7:R12"/>
    <mergeCell ref="S7:S12"/>
    <mergeCell ref="I7:I12"/>
    <mergeCell ref="J7:J12"/>
    <mergeCell ref="K7:K12"/>
    <mergeCell ref="L7:L12"/>
  </mergeCells>
  <phoneticPr fontId="2" type="noConversion"/>
  <pageMargins left="0" right="0" top="0.2" bottom="0.35433070866141736" header="0.2" footer="0.35433070866141736"/>
  <pageSetup paperSize="9" scale="4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0"/>
  </sheetPr>
  <dimension ref="A1:N33"/>
  <sheetViews>
    <sheetView workbookViewId="0">
      <selection activeCell="F31" sqref="F31"/>
    </sheetView>
  </sheetViews>
  <sheetFormatPr defaultRowHeight="12.75"/>
  <cols>
    <col min="1" max="1" width="3" style="100" customWidth="1"/>
    <col min="2" max="2" width="16.7109375" style="100" customWidth="1"/>
    <col min="3" max="3" width="18.28515625" style="108" customWidth="1"/>
    <col min="4" max="4" width="8.140625" style="100" customWidth="1"/>
    <col min="5" max="5" width="12.5703125" style="100" customWidth="1"/>
    <col min="6" max="6" width="15.85546875" style="100" customWidth="1"/>
    <col min="7" max="7" width="7" style="100" customWidth="1"/>
    <col min="8" max="9" width="6.5703125" style="100" bestFit="1" customWidth="1"/>
    <col min="10" max="10" width="10.28515625" style="100" bestFit="1" customWidth="1"/>
    <col min="11" max="11" width="11.7109375" style="101" customWidth="1"/>
    <col min="12" max="12" width="7.85546875" style="100" customWidth="1"/>
    <col min="13" max="13" width="9.140625" style="175"/>
    <col min="14" max="16384" width="9.140625" style="100"/>
  </cols>
  <sheetData>
    <row r="1" spans="1:14" ht="20.25">
      <c r="B1" s="568" t="s">
        <v>355</v>
      </c>
      <c r="C1" s="568"/>
      <c r="D1" s="568"/>
      <c r="E1" s="568"/>
      <c r="F1" s="568"/>
      <c r="G1" s="568"/>
      <c r="H1" s="568"/>
      <c r="I1" s="568"/>
      <c r="J1" s="568"/>
      <c r="K1" s="568"/>
      <c r="L1" s="568"/>
    </row>
    <row r="2" spans="1:14" ht="20.25">
      <c r="B2" s="70" t="s">
        <v>99</v>
      </c>
      <c r="C2" s="70"/>
      <c r="D2" s="70"/>
      <c r="E2" s="70"/>
      <c r="F2" s="70"/>
      <c r="G2" s="70"/>
      <c r="H2" s="70"/>
      <c r="I2" s="70"/>
      <c r="J2" s="70"/>
      <c r="K2" s="73"/>
      <c r="L2" s="70"/>
    </row>
    <row r="3" spans="1:14" ht="13.5" thickBot="1"/>
    <row r="4" spans="1:14" ht="24" customHeight="1" thickTop="1" thickBot="1">
      <c r="A4" s="569"/>
      <c r="B4" s="571" t="s">
        <v>345</v>
      </c>
      <c r="C4" s="573" t="s">
        <v>317</v>
      </c>
      <c r="D4" s="573" t="s">
        <v>318</v>
      </c>
      <c r="E4" s="573" t="s">
        <v>319</v>
      </c>
      <c r="F4" s="573" t="s">
        <v>346</v>
      </c>
      <c r="G4" s="561" t="s">
        <v>320</v>
      </c>
      <c r="H4" s="561" t="s">
        <v>321</v>
      </c>
      <c r="I4" s="575" t="s">
        <v>322</v>
      </c>
      <c r="J4" s="561" t="s">
        <v>323</v>
      </c>
      <c r="K4" s="563" t="s">
        <v>324</v>
      </c>
      <c r="L4" s="565" t="s">
        <v>325</v>
      </c>
      <c r="M4" s="566"/>
      <c r="N4" s="105"/>
    </row>
    <row r="5" spans="1:14" ht="51" customHeight="1">
      <c r="A5" s="570"/>
      <c r="B5" s="572"/>
      <c r="C5" s="574"/>
      <c r="D5" s="574"/>
      <c r="E5" s="574"/>
      <c r="F5" s="574"/>
      <c r="G5" s="562"/>
      <c r="H5" s="562"/>
      <c r="I5" s="576"/>
      <c r="J5" s="562"/>
      <c r="K5" s="564"/>
      <c r="L5" s="388" t="s">
        <v>326</v>
      </c>
      <c r="M5" s="389" t="s">
        <v>327</v>
      </c>
      <c r="N5" s="105"/>
    </row>
    <row r="6" spans="1:14" s="105" customFormat="1">
      <c r="A6" s="390"/>
      <c r="B6" s="391" t="s">
        <v>339</v>
      </c>
      <c r="C6" s="392" t="s">
        <v>331</v>
      </c>
      <c r="D6" s="393">
        <v>3</v>
      </c>
      <c r="E6" s="393">
        <v>10</v>
      </c>
      <c r="F6" s="394">
        <v>156.9</v>
      </c>
      <c r="G6" s="395">
        <v>1.02</v>
      </c>
      <c r="H6" s="396">
        <v>1</v>
      </c>
      <c r="I6" s="397">
        <v>0.36</v>
      </c>
      <c r="J6" s="398">
        <f t="shared" ref="J6:J20" si="0">1+(I6*E6)*0.01</f>
        <v>1.036</v>
      </c>
      <c r="K6" s="399">
        <f>G6*H6*J6</f>
        <v>1.0567200000000001</v>
      </c>
      <c r="L6" s="90">
        <f>F6*K6</f>
        <v>165.8</v>
      </c>
      <c r="M6" s="400">
        <f>L6/1.17</f>
        <v>141.71</v>
      </c>
    </row>
    <row r="7" spans="1:14" s="187" customFormat="1">
      <c r="A7" s="401"/>
      <c r="B7" s="402" t="s">
        <v>333</v>
      </c>
      <c r="C7" s="403" t="s">
        <v>334</v>
      </c>
      <c r="D7" s="404">
        <v>2</v>
      </c>
      <c r="E7" s="404">
        <v>8</v>
      </c>
      <c r="F7" s="394">
        <v>154</v>
      </c>
      <c r="G7" s="395">
        <v>1.02</v>
      </c>
      <c r="H7" s="396">
        <v>1</v>
      </c>
      <c r="I7" s="397">
        <v>0.36</v>
      </c>
      <c r="J7" s="398">
        <f t="shared" si="0"/>
        <v>1.0289999999999999</v>
      </c>
      <c r="K7" s="399">
        <f t="shared" ref="K7:K27" si="1">G7*H7*J7</f>
        <v>1.04958</v>
      </c>
      <c r="L7" s="90">
        <f t="shared" ref="L7:L27" si="2">F7*K7</f>
        <v>161.63999999999999</v>
      </c>
      <c r="M7" s="400">
        <f t="shared" ref="M7:M27" si="3">L7/1.17</f>
        <v>138.15</v>
      </c>
    </row>
    <row r="8" spans="1:14" s="104" customFormat="1">
      <c r="A8" s="405"/>
      <c r="B8" s="403" t="s">
        <v>328</v>
      </c>
      <c r="C8" s="403" t="s">
        <v>329</v>
      </c>
      <c r="D8" s="393">
        <v>2</v>
      </c>
      <c r="E8" s="393">
        <v>9</v>
      </c>
      <c r="F8" s="394">
        <v>154</v>
      </c>
      <c r="G8" s="395">
        <v>1.02</v>
      </c>
      <c r="H8" s="394">
        <v>1</v>
      </c>
      <c r="I8" s="397">
        <v>0.36</v>
      </c>
      <c r="J8" s="398">
        <f t="shared" si="0"/>
        <v>1.032</v>
      </c>
      <c r="K8" s="399">
        <f t="shared" si="1"/>
        <v>1.05264</v>
      </c>
      <c r="L8" s="91">
        <f t="shared" si="2"/>
        <v>162.11000000000001</v>
      </c>
      <c r="M8" s="400">
        <f t="shared" si="3"/>
        <v>138.56</v>
      </c>
    </row>
    <row r="9" spans="1:14" s="187" customFormat="1">
      <c r="A9" s="401"/>
      <c r="B9" s="406" t="s">
        <v>347</v>
      </c>
      <c r="C9" s="403" t="s">
        <v>329</v>
      </c>
      <c r="D9" s="404">
        <v>1</v>
      </c>
      <c r="E9" s="404">
        <v>7</v>
      </c>
      <c r="F9" s="394">
        <v>154</v>
      </c>
      <c r="G9" s="395">
        <v>1.02</v>
      </c>
      <c r="H9" s="396">
        <v>1</v>
      </c>
      <c r="I9" s="407">
        <v>0.36</v>
      </c>
      <c r="J9" s="398">
        <f t="shared" si="0"/>
        <v>1.0249999999999999</v>
      </c>
      <c r="K9" s="399">
        <f t="shared" si="1"/>
        <v>1.0455000000000001</v>
      </c>
      <c r="L9" s="90">
        <f t="shared" si="2"/>
        <v>161.01</v>
      </c>
      <c r="M9" s="400">
        <f t="shared" si="3"/>
        <v>137.62</v>
      </c>
    </row>
    <row r="10" spans="1:14" s="187" customFormat="1">
      <c r="A10" s="401"/>
      <c r="B10" s="402" t="s">
        <v>336</v>
      </c>
      <c r="C10" s="392" t="s">
        <v>331</v>
      </c>
      <c r="D10" s="404">
        <v>3</v>
      </c>
      <c r="E10" s="404">
        <v>8</v>
      </c>
      <c r="F10" s="394">
        <v>156.9</v>
      </c>
      <c r="G10" s="395">
        <v>1.02</v>
      </c>
      <c r="H10" s="396">
        <v>1</v>
      </c>
      <c r="I10" s="397">
        <v>0.36</v>
      </c>
      <c r="J10" s="398">
        <f t="shared" si="0"/>
        <v>1.0289999999999999</v>
      </c>
      <c r="K10" s="399">
        <f t="shared" si="1"/>
        <v>1.04958</v>
      </c>
      <c r="L10" s="90">
        <f t="shared" si="2"/>
        <v>164.68</v>
      </c>
      <c r="M10" s="400">
        <f t="shared" si="3"/>
        <v>140.75</v>
      </c>
    </row>
    <row r="11" spans="1:14" s="105" customFormat="1">
      <c r="A11" s="390"/>
      <c r="B11" s="106" t="s">
        <v>343</v>
      </c>
      <c r="C11" s="403" t="s">
        <v>329</v>
      </c>
      <c r="D11" s="393">
        <v>2</v>
      </c>
      <c r="E11" s="393">
        <v>8</v>
      </c>
      <c r="F11" s="394">
        <v>154</v>
      </c>
      <c r="G11" s="395">
        <v>1.02</v>
      </c>
      <c r="H11" s="396">
        <v>1</v>
      </c>
      <c r="I11" s="397">
        <v>0.36</v>
      </c>
      <c r="J11" s="398">
        <f t="shared" si="0"/>
        <v>1.0289999999999999</v>
      </c>
      <c r="K11" s="399">
        <f t="shared" si="1"/>
        <v>1.04958</v>
      </c>
      <c r="L11" s="90">
        <f t="shared" si="2"/>
        <v>161.63999999999999</v>
      </c>
      <c r="M11" s="400">
        <f t="shared" si="3"/>
        <v>138.15</v>
      </c>
    </row>
    <row r="12" spans="1:14" s="187" customFormat="1">
      <c r="A12" s="401"/>
      <c r="B12" s="567" t="s">
        <v>15</v>
      </c>
      <c r="C12" s="392" t="s">
        <v>331</v>
      </c>
      <c r="D12" s="393">
        <v>3</v>
      </c>
      <c r="E12" s="393">
        <v>3</v>
      </c>
      <c r="F12" s="394">
        <v>156.9</v>
      </c>
      <c r="G12" s="395">
        <v>1.02</v>
      </c>
      <c r="H12" s="396">
        <v>1</v>
      </c>
      <c r="I12" s="397">
        <v>0.44</v>
      </c>
      <c r="J12" s="398">
        <f>1+(I12*E12)*0.01</f>
        <v>1.0129999999999999</v>
      </c>
      <c r="K12" s="399">
        <f>G12*H12*J12</f>
        <v>1.0332600000000001</v>
      </c>
      <c r="L12" s="90">
        <f>F12*K12</f>
        <v>162.12</v>
      </c>
      <c r="M12" s="400">
        <f t="shared" si="3"/>
        <v>138.56</v>
      </c>
    </row>
    <row r="13" spans="1:14" s="187" customFormat="1">
      <c r="A13" s="401"/>
      <c r="B13" s="567"/>
      <c r="C13" s="408" t="s">
        <v>332</v>
      </c>
      <c r="D13" s="409">
        <v>1</v>
      </c>
      <c r="E13" s="404">
        <v>37</v>
      </c>
      <c r="F13" s="394">
        <v>172</v>
      </c>
      <c r="G13" s="395">
        <v>1.03</v>
      </c>
      <c r="H13" s="407">
        <v>0.94</v>
      </c>
      <c r="I13" s="397">
        <v>0.35</v>
      </c>
      <c r="J13" s="398">
        <f t="shared" si="0"/>
        <v>1.1299999999999999</v>
      </c>
      <c r="K13" s="399">
        <f>G13*H13*J13</f>
        <v>1.094066</v>
      </c>
      <c r="L13" s="90">
        <f>F13*K13</f>
        <v>188.18</v>
      </c>
      <c r="M13" s="400">
        <f t="shared" si="3"/>
        <v>160.84</v>
      </c>
    </row>
    <row r="14" spans="1:14" s="187" customFormat="1">
      <c r="A14" s="401"/>
      <c r="B14" s="410" t="s">
        <v>174</v>
      </c>
      <c r="C14" s="392" t="s">
        <v>163</v>
      </c>
      <c r="D14" s="409">
        <v>2</v>
      </c>
      <c r="E14" s="404">
        <v>0</v>
      </c>
      <c r="F14" s="394">
        <v>154</v>
      </c>
      <c r="G14" s="395">
        <v>1.02</v>
      </c>
      <c r="H14" s="396">
        <v>1</v>
      </c>
      <c r="I14" s="407">
        <v>0.44</v>
      </c>
      <c r="J14" s="398">
        <f>1+(I14*E14)*0.01</f>
        <v>1</v>
      </c>
      <c r="K14" s="399">
        <f>G14*H14*J14</f>
        <v>1.02</v>
      </c>
      <c r="L14" s="90">
        <f>F14*K14</f>
        <v>157.08000000000001</v>
      </c>
      <c r="M14" s="400">
        <f t="shared" si="3"/>
        <v>134.26</v>
      </c>
    </row>
    <row r="15" spans="1:14" s="187" customFormat="1">
      <c r="A15" s="401"/>
      <c r="B15" s="406" t="s">
        <v>348</v>
      </c>
      <c r="C15" s="392" t="s">
        <v>330</v>
      </c>
      <c r="D15" s="404">
        <v>3</v>
      </c>
      <c r="E15" s="404">
        <v>16</v>
      </c>
      <c r="F15" s="396">
        <v>154</v>
      </c>
      <c r="G15" s="395">
        <v>1.02</v>
      </c>
      <c r="H15" s="396">
        <v>1</v>
      </c>
      <c r="I15" s="407">
        <v>0.35</v>
      </c>
      <c r="J15" s="398">
        <f t="shared" si="0"/>
        <v>1.056</v>
      </c>
      <c r="K15" s="399">
        <f t="shared" si="1"/>
        <v>1.0771200000000001</v>
      </c>
      <c r="L15" s="90">
        <f t="shared" si="2"/>
        <v>165.88</v>
      </c>
      <c r="M15" s="400">
        <f t="shared" si="3"/>
        <v>141.78</v>
      </c>
    </row>
    <row r="16" spans="1:14" s="187" customFormat="1">
      <c r="A16" s="401"/>
      <c r="B16" s="406" t="s">
        <v>353</v>
      </c>
      <c r="C16" s="392" t="s">
        <v>357</v>
      </c>
      <c r="D16" s="404">
        <v>1</v>
      </c>
      <c r="E16" s="404">
        <v>4</v>
      </c>
      <c r="F16" s="396">
        <v>156.9</v>
      </c>
      <c r="G16" s="398">
        <v>0.98</v>
      </c>
      <c r="H16" s="396">
        <v>1</v>
      </c>
      <c r="I16" s="407">
        <v>0.44</v>
      </c>
      <c r="J16" s="398">
        <f t="shared" si="0"/>
        <v>1.018</v>
      </c>
      <c r="K16" s="399">
        <f t="shared" si="1"/>
        <v>0.99763999999999997</v>
      </c>
      <c r="L16" s="90">
        <f t="shared" si="2"/>
        <v>156.53</v>
      </c>
      <c r="M16" s="400">
        <f t="shared" si="3"/>
        <v>133.79</v>
      </c>
    </row>
    <row r="17" spans="1:14">
      <c r="A17" s="401"/>
      <c r="B17" s="560" t="s">
        <v>354</v>
      </c>
      <c r="C17" s="392" t="s">
        <v>357</v>
      </c>
      <c r="D17" s="404">
        <v>1</v>
      </c>
      <c r="E17" s="404">
        <v>0</v>
      </c>
      <c r="F17" s="396">
        <v>156.9</v>
      </c>
      <c r="G17" s="398">
        <v>0.98</v>
      </c>
      <c r="H17" s="396">
        <v>1</v>
      </c>
      <c r="I17" s="407">
        <v>0.44</v>
      </c>
      <c r="J17" s="398">
        <f>1+(I17*E17)*0.01</f>
        <v>1</v>
      </c>
      <c r="K17" s="399">
        <f>G17*H17*J17</f>
        <v>0.98</v>
      </c>
      <c r="L17" s="90">
        <f>F17*K17</f>
        <v>153.76</v>
      </c>
      <c r="M17" s="400">
        <f t="shared" si="3"/>
        <v>131.41999999999999</v>
      </c>
    </row>
    <row r="18" spans="1:14" s="187" customFormat="1">
      <c r="A18" s="401"/>
      <c r="B18" s="560"/>
      <c r="C18" s="392" t="s">
        <v>219</v>
      </c>
      <c r="D18" s="404">
        <v>1</v>
      </c>
      <c r="E18" s="404">
        <v>37</v>
      </c>
      <c r="F18" s="396">
        <v>158.30000000000001</v>
      </c>
      <c r="G18" s="398">
        <v>1.0229999999999999</v>
      </c>
      <c r="H18" s="407">
        <v>0.94</v>
      </c>
      <c r="I18" s="407">
        <v>0.06</v>
      </c>
      <c r="J18" s="398">
        <f>1+(I18*E18)*0.01</f>
        <v>1.022</v>
      </c>
      <c r="K18" s="399">
        <f>G18*H18*J18</f>
        <v>0.98277599999999998</v>
      </c>
      <c r="L18" s="90">
        <f>F18*K18</f>
        <v>155.57</v>
      </c>
      <c r="M18" s="400">
        <f t="shared" si="3"/>
        <v>132.97</v>
      </c>
    </row>
    <row r="19" spans="1:14">
      <c r="A19" s="390"/>
      <c r="B19" s="406" t="s">
        <v>349</v>
      </c>
      <c r="C19" s="392" t="s">
        <v>331</v>
      </c>
      <c r="D19" s="393">
        <v>3</v>
      </c>
      <c r="E19" s="393">
        <v>8</v>
      </c>
      <c r="F19" s="394">
        <v>156.9</v>
      </c>
      <c r="G19" s="395">
        <v>1.02</v>
      </c>
      <c r="H19" s="394">
        <v>1</v>
      </c>
      <c r="I19" s="397">
        <v>0.36</v>
      </c>
      <c r="J19" s="398">
        <f t="shared" si="0"/>
        <v>1.0289999999999999</v>
      </c>
      <c r="K19" s="399">
        <f t="shared" si="1"/>
        <v>1.04958</v>
      </c>
      <c r="L19" s="90">
        <f t="shared" si="2"/>
        <v>164.68</v>
      </c>
      <c r="M19" s="400">
        <f t="shared" si="3"/>
        <v>140.75</v>
      </c>
    </row>
    <row r="20" spans="1:14" s="105" customFormat="1">
      <c r="A20" s="401"/>
      <c r="B20" s="408" t="s">
        <v>335</v>
      </c>
      <c r="C20" s="392" t="s">
        <v>331</v>
      </c>
      <c r="D20" s="409">
        <v>5</v>
      </c>
      <c r="E20" s="404">
        <v>10</v>
      </c>
      <c r="F20" s="394">
        <v>156.9</v>
      </c>
      <c r="G20" s="395">
        <v>1.02</v>
      </c>
      <c r="H20" s="396">
        <v>1</v>
      </c>
      <c r="I20" s="397">
        <v>0.36</v>
      </c>
      <c r="J20" s="398">
        <f t="shared" si="0"/>
        <v>1.036</v>
      </c>
      <c r="K20" s="399">
        <f t="shared" si="1"/>
        <v>1.0567200000000001</v>
      </c>
      <c r="L20" s="90">
        <f t="shared" si="2"/>
        <v>165.8</v>
      </c>
      <c r="M20" s="400">
        <f t="shared" si="3"/>
        <v>141.71</v>
      </c>
    </row>
    <row r="21" spans="1:14" s="105" customFormat="1">
      <c r="A21" s="390"/>
      <c r="B21" s="406" t="s">
        <v>350</v>
      </c>
      <c r="C21" s="392" t="s">
        <v>331</v>
      </c>
      <c r="D21" s="393">
        <v>2</v>
      </c>
      <c r="E21" s="393">
        <v>8</v>
      </c>
      <c r="F21" s="394">
        <v>156.9</v>
      </c>
      <c r="G21" s="395">
        <v>1.02</v>
      </c>
      <c r="H21" s="394">
        <v>1</v>
      </c>
      <c r="I21" s="397">
        <v>0.36</v>
      </c>
      <c r="J21" s="398">
        <f>1+(I21*E21)*0.01</f>
        <v>1.0289999999999999</v>
      </c>
      <c r="K21" s="399">
        <f t="shared" si="1"/>
        <v>1.04958</v>
      </c>
      <c r="L21" s="90">
        <f t="shared" si="2"/>
        <v>164.68</v>
      </c>
      <c r="M21" s="400">
        <f t="shared" si="3"/>
        <v>140.75</v>
      </c>
    </row>
    <row r="22" spans="1:14" s="105" customFormat="1">
      <c r="A22" s="390"/>
      <c r="B22" s="411" t="s">
        <v>351</v>
      </c>
      <c r="C22" s="403" t="s">
        <v>330</v>
      </c>
      <c r="D22" s="393">
        <v>2</v>
      </c>
      <c r="E22" s="393">
        <v>16</v>
      </c>
      <c r="F22" s="396">
        <v>154</v>
      </c>
      <c r="G22" s="395">
        <v>1.02</v>
      </c>
      <c r="H22" s="394">
        <v>1</v>
      </c>
      <c r="I22" s="397">
        <v>0.35</v>
      </c>
      <c r="J22" s="398">
        <f t="shared" ref="J22:J27" si="4">1+I22*E22*0.01</f>
        <v>1.056</v>
      </c>
      <c r="K22" s="399">
        <f t="shared" si="1"/>
        <v>1.0771200000000001</v>
      </c>
      <c r="L22" s="90">
        <f t="shared" si="2"/>
        <v>165.88</v>
      </c>
      <c r="M22" s="400">
        <f t="shared" si="3"/>
        <v>141.78</v>
      </c>
    </row>
    <row r="23" spans="1:14" s="105" customFormat="1" ht="15">
      <c r="A23" s="390"/>
      <c r="B23" s="411" t="s">
        <v>352</v>
      </c>
      <c r="C23" s="403" t="s">
        <v>396</v>
      </c>
      <c r="D23" s="393">
        <v>1</v>
      </c>
      <c r="E23" s="393">
        <v>17</v>
      </c>
      <c r="F23" s="394">
        <v>151.9</v>
      </c>
      <c r="G23" s="395">
        <v>1.02</v>
      </c>
      <c r="H23" s="394">
        <v>1</v>
      </c>
      <c r="I23" s="397">
        <v>0.35</v>
      </c>
      <c r="J23" s="398">
        <f t="shared" si="4"/>
        <v>1.06</v>
      </c>
      <c r="K23" s="399">
        <f t="shared" si="1"/>
        <v>1.0811999999999999</v>
      </c>
      <c r="L23" s="90">
        <f t="shared" si="2"/>
        <v>164.23</v>
      </c>
      <c r="M23" s="400">
        <f t="shared" si="3"/>
        <v>140.37</v>
      </c>
      <c r="N23" s="68"/>
    </row>
    <row r="24" spans="1:14">
      <c r="A24" s="390"/>
      <c r="B24" s="411"/>
      <c r="C24" s="412" t="s">
        <v>337</v>
      </c>
      <c r="D24" s="393">
        <v>1</v>
      </c>
      <c r="E24" s="393">
        <v>17</v>
      </c>
      <c r="F24" s="394">
        <v>155.19999999999999</v>
      </c>
      <c r="G24" s="395">
        <v>1.02</v>
      </c>
      <c r="H24" s="394">
        <v>1</v>
      </c>
      <c r="I24" s="397">
        <v>0.35</v>
      </c>
      <c r="J24" s="398">
        <f t="shared" si="4"/>
        <v>1.06</v>
      </c>
      <c r="K24" s="399">
        <f t="shared" si="1"/>
        <v>1.0811999999999999</v>
      </c>
      <c r="L24" s="90">
        <f t="shared" si="2"/>
        <v>167.8</v>
      </c>
      <c r="M24" s="400">
        <f t="shared" si="3"/>
        <v>143.41999999999999</v>
      </c>
      <c r="N24" s="181"/>
    </row>
    <row r="25" spans="1:14">
      <c r="A25" s="390"/>
      <c r="B25" s="391" t="s">
        <v>338</v>
      </c>
      <c r="C25" s="392" t="s">
        <v>331</v>
      </c>
      <c r="D25" s="393">
        <v>6</v>
      </c>
      <c r="E25" s="393">
        <v>12</v>
      </c>
      <c r="F25" s="394">
        <v>156.9</v>
      </c>
      <c r="G25" s="395">
        <v>1.02</v>
      </c>
      <c r="H25" s="396">
        <v>1</v>
      </c>
      <c r="I25" s="397">
        <v>0.35</v>
      </c>
      <c r="J25" s="398">
        <f t="shared" si="4"/>
        <v>1.042</v>
      </c>
      <c r="K25" s="399">
        <f t="shared" si="1"/>
        <v>1.06284</v>
      </c>
      <c r="L25" s="90">
        <f t="shared" si="2"/>
        <v>166.76</v>
      </c>
      <c r="M25" s="400">
        <f t="shared" si="3"/>
        <v>142.53</v>
      </c>
      <c r="N25" s="181"/>
    </row>
    <row r="26" spans="1:14">
      <c r="A26" s="390"/>
      <c r="B26" s="391" t="s">
        <v>340</v>
      </c>
      <c r="C26" s="392" t="s">
        <v>331</v>
      </c>
      <c r="D26" s="393">
        <v>3</v>
      </c>
      <c r="E26" s="393">
        <v>11</v>
      </c>
      <c r="F26" s="394">
        <v>156.9</v>
      </c>
      <c r="G26" s="395">
        <v>1.02</v>
      </c>
      <c r="H26" s="396">
        <v>1</v>
      </c>
      <c r="I26" s="397">
        <v>0.35</v>
      </c>
      <c r="J26" s="398">
        <f>1+(I26*E26)*0.01</f>
        <v>1.0389999999999999</v>
      </c>
      <c r="K26" s="399">
        <f t="shared" si="1"/>
        <v>1.0597799999999999</v>
      </c>
      <c r="L26" s="90">
        <f t="shared" si="2"/>
        <v>166.28</v>
      </c>
      <c r="M26" s="400">
        <f t="shared" si="3"/>
        <v>142.12</v>
      </c>
      <c r="N26" s="181"/>
    </row>
    <row r="27" spans="1:14" ht="13.5" thickBot="1">
      <c r="A27" s="413"/>
      <c r="B27" s="414" t="s">
        <v>341</v>
      </c>
      <c r="C27" s="415" t="s">
        <v>342</v>
      </c>
      <c r="D27" s="416">
        <v>1</v>
      </c>
      <c r="E27" s="416">
        <v>11</v>
      </c>
      <c r="F27" s="417">
        <v>151.9</v>
      </c>
      <c r="G27" s="418">
        <v>1.02</v>
      </c>
      <c r="H27" s="419">
        <v>1</v>
      </c>
      <c r="I27" s="420">
        <v>0.35</v>
      </c>
      <c r="J27" s="421">
        <f t="shared" si="4"/>
        <v>1.0389999999999999</v>
      </c>
      <c r="K27" s="422">
        <f t="shared" si="1"/>
        <v>1.0597799999999999</v>
      </c>
      <c r="L27" s="423">
        <f t="shared" si="2"/>
        <v>160.97999999999999</v>
      </c>
      <c r="M27" s="424">
        <f t="shared" si="3"/>
        <v>137.59</v>
      </c>
      <c r="N27" s="181"/>
    </row>
    <row r="28" spans="1:14" ht="13.5" thickTop="1">
      <c r="A28" s="105"/>
      <c r="B28" s="105"/>
      <c r="C28" s="425"/>
      <c r="D28" s="426"/>
      <c r="E28" s="426"/>
      <c r="F28" s="426"/>
      <c r="G28" s="427"/>
      <c r="H28" s="188"/>
      <c r="I28" s="428"/>
      <c r="J28" s="429"/>
      <c r="K28" s="430"/>
      <c r="L28" s="55"/>
      <c r="M28" s="59"/>
    </row>
    <row r="29" spans="1:14">
      <c r="A29" s="105"/>
      <c r="B29" s="105"/>
      <c r="C29" s="425"/>
      <c r="D29" s="426"/>
      <c r="E29" s="426"/>
      <c r="F29" s="426"/>
      <c r="G29" s="427"/>
      <c r="H29" s="188"/>
      <c r="I29" s="428"/>
      <c r="J29" s="429"/>
      <c r="K29" s="430"/>
      <c r="L29" s="55"/>
      <c r="M29" s="59"/>
    </row>
    <row r="30" spans="1:14" ht="15">
      <c r="A30" s="105"/>
      <c r="B30" s="181"/>
      <c r="C30" s="217" t="s">
        <v>231</v>
      </c>
      <c r="D30" s="67"/>
      <c r="E30" s="67"/>
      <c r="F30" s="67"/>
      <c r="G30" s="67"/>
      <c r="H30" s="68"/>
      <c r="I30" s="69"/>
      <c r="J30" s="69"/>
      <c r="K30" s="431" t="s">
        <v>344</v>
      </c>
      <c r="L30" s="68"/>
      <c r="M30" s="432"/>
    </row>
    <row r="31" spans="1:14">
      <c r="B31" s="181"/>
      <c r="C31" s="180"/>
      <c r="D31" s="179"/>
      <c r="E31" s="179"/>
      <c r="F31" s="181"/>
      <c r="G31" s="181"/>
      <c r="H31" s="181"/>
      <c r="I31" s="181"/>
      <c r="J31" s="179"/>
      <c r="K31" s="291"/>
      <c r="L31" s="181"/>
      <c r="M31" s="184"/>
    </row>
    <row r="32" spans="1:14" ht="15">
      <c r="B32" s="181"/>
      <c r="C32" s="217" t="s">
        <v>381</v>
      </c>
      <c r="D32" s="67"/>
      <c r="E32" s="67"/>
      <c r="F32" s="67"/>
      <c r="G32" s="67"/>
      <c r="H32" s="68"/>
      <c r="I32" s="69"/>
      <c r="J32" s="69"/>
      <c r="K32" s="431" t="s">
        <v>17</v>
      </c>
      <c r="L32" s="68"/>
      <c r="M32" s="184"/>
    </row>
    <row r="33" spans="2:13">
      <c r="B33" s="181"/>
      <c r="C33" s="180"/>
      <c r="D33" s="179"/>
      <c r="E33" s="179"/>
      <c r="F33" s="181"/>
      <c r="G33" s="181"/>
      <c r="H33" s="181"/>
      <c r="I33" s="181"/>
      <c r="J33" s="179"/>
      <c r="K33" s="291"/>
      <c r="L33" s="181"/>
      <c r="M33" s="184"/>
    </row>
  </sheetData>
  <mergeCells count="15">
    <mergeCell ref="B1:L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B17:B18"/>
    <mergeCell ref="J4:J5"/>
    <mergeCell ref="K4:K5"/>
    <mergeCell ref="L4:M4"/>
    <mergeCell ref="B12:B13"/>
  </mergeCells>
  <phoneticPr fontId="2" type="noConversion"/>
  <pageMargins left="0.75" right="0.75" top="1" bottom="1" header="0.5" footer="0.5"/>
  <pageSetup paperSize="9" scale="93" orientation="landscape" verticalDpi="0" r:id="rId1"/>
  <headerFooter alignWithMargins="0"/>
  <colBreaks count="1" manualBreakCount="1">
    <brk id="1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12"/>
  </sheetPr>
  <dimension ref="A1:I63"/>
  <sheetViews>
    <sheetView tabSelected="1" workbookViewId="0">
      <selection activeCell="E13" sqref="E13"/>
    </sheetView>
  </sheetViews>
  <sheetFormatPr defaultRowHeight="12.75"/>
  <cols>
    <col min="1" max="1" width="57.5703125" customWidth="1"/>
    <col min="2" max="2" width="15.42578125" customWidth="1"/>
    <col min="3" max="3" width="15.7109375" customWidth="1"/>
    <col min="4" max="4" width="13.140625" customWidth="1"/>
    <col min="5" max="5" width="12.42578125" customWidth="1"/>
    <col min="6" max="6" width="12.85546875" customWidth="1"/>
    <col min="7" max="7" width="13.140625" customWidth="1"/>
  </cols>
  <sheetData>
    <row r="1" spans="1:8">
      <c r="C1" s="2"/>
      <c r="E1" t="s">
        <v>90</v>
      </c>
    </row>
    <row r="2" spans="1:8" ht="13.5">
      <c r="A2" s="577" t="s">
        <v>297</v>
      </c>
      <c r="B2" s="578"/>
      <c r="C2" s="578"/>
      <c r="D2" s="578"/>
      <c r="E2" s="578"/>
      <c r="F2" s="578"/>
      <c r="G2" s="578"/>
      <c r="H2" s="578"/>
    </row>
    <row r="3" spans="1:8" ht="13.5">
      <c r="A3" s="577" t="s">
        <v>298</v>
      </c>
      <c r="B3" s="578"/>
      <c r="C3" s="578"/>
      <c r="D3" s="578"/>
      <c r="E3" s="578"/>
      <c r="F3" s="578"/>
      <c r="G3" s="578"/>
      <c r="H3" s="578"/>
    </row>
    <row r="4" spans="1:8" ht="13.5">
      <c r="A4" s="577" t="s">
        <v>299</v>
      </c>
      <c r="B4" s="578"/>
      <c r="C4" s="578"/>
      <c r="D4" s="578"/>
      <c r="E4" s="578"/>
      <c r="F4" s="578"/>
      <c r="G4" s="578"/>
      <c r="H4" s="578"/>
    </row>
    <row r="5" spans="1:8" ht="15.75">
      <c r="A5" s="75"/>
      <c r="B5" s="75"/>
      <c r="C5" s="75"/>
      <c r="D5" s="75"/>
      <c r="E5" s="75"/>
      <c r="F5" s="75"/>
      <c r="G5" s="74"/>
    </row>
    <row r="6" spans="1:8" ht="15.75">
      <c r="A6" s="75"/>
      <c r="B6" s="75"/>
      <c r="C6" s="75"/>
      <c r="D6" s="75"/>
      <c r="E6" s="75"/>
      <c r="F6" s="75"/>
      <c r="G6" s="74"/>
    </row>
    <row r="7" spans="1:8" ht="18.75" thickBot="1">
      <c r="A7" s="579" t="s">
        <v>89</v>
      </c>
      <c r="B7" s="579"/>
      <c r="C7" s="579"/>
      <c r="D7" s="580"/>
      <c r="E7" s="580"/>
      <c r="F7" s="580"/>
      <c r="G7" s="580"/>
      <c r="H7" s="51"/>
    </row>
    <row r="8" spans="1:8" ht="15.75">
      <c r="A8" s="584"/>
      <c r="B8" s="586" t="s">
        <v>4</v>
      </c>
      <c r="C8" s="588" t="s">
        <v>5</v>
      </c>
      <c r="D8" s="75"/>
      <c r="E8" s="75"/>
    </row>
    <row r="9" spans="1:8" ht="39.75" customHeight="1" thickBot="1">
      <c r="A9" s="585"/>
      <c r="B9" s="587"/>
      <c r="C9" s="589"/>
    </row>
    <row r="10" spans="1:8" ht="15.75">
      <c r="A10" s="485" t="s">
        <v>6</v>
      </c>
      <c r="B10" s="484"/>
      <c r="C10" s="486"/>
    </row>
    <row r="11" spans="1:8" ht="15.75">
      <c r="A11" s="478" t="s">
        <v>7</v>
      </c>
      <c r="B11" s="473">
        <f>B12+B13+B14</f>
        <v>2023.57</v>
      </c>
      <c r="C11" s="487">
        <f>SUM(C12:C14)</f>
        <v>2428.29</v>
      </c>
    </row>
    <row r="12" spans="1:8" ht="15.75">
      <c r="A12" s="480" t="s">
        <v>8</v>
      </c>
      <c r="B12" s="474">
        <v>1709.99</v>
      </c>
      <c r="C12" s="488">
        <f>B12*1.2</f>
        <v>2051.9899999999998</v>
      </c>
    </row>
    <row r="13" spans="1:8" ht="15.75">
      <c r="A13" s="480" t="s">
        <v>9</v>
      </c>
      <c r="B13" s="474">
        <v>268.94</v>
      </c>
      <c r="C13" s="488">
        <f>B13*1.2</f>
        <v>322.73</v>
      </c>
    </row>
    <row r="14" spans="1:8" ht="15.75">
      <c r="A14" s="480" t="s">
        <v>10</v>
      </c>
      <c r="B14" s="474">
        <v>44.64</v>
      </c>
      <c r="C14" s="488">
        <f>B14*1.2</f>
        <v>53.57</v>
      </c>
    </row>
    <row r="15" spans="1:8" ht="15.75">
      <c r="A15" s="476"/>
      <c r="B15" s="475"/>
      <c r="C15" s="488"/>
    </row>
    <row r="16" spans="1:8" ht="15.75">
      <c r="A16" s="481" t="s">
        <v>88</v>
      </c>
      <c r="B16" s="475"/>
      <c r="C16" s="488"/>
    </row>
    <row r="17" spans="1:7" ht="15.75">
      <c r="A17" s="478" t="s">
        <v>7</v>
      </c>
      <c r="B17" s="479">
        <f>SUM(B18:B20)</f>
        <v>2009.33</v>
      </c>
      <c r="C17" s="487">
        <f>SUM(C18:C20)</f>
        <v>2411.1999999999998</v>
      </c>
    </row>
    <row r="18" spans="1:7" ht="15.75">
      <c r="A18" s="480" t="s">
        <v>8</v>
      </c>
      <c r="B18" s="474">
        <v>1695.75</v>
      </c>
      <c r="C18" s="488">
        <f>B18*1.2</f>
        <v>2034.9</v>
      </c>
    </row>
    <row r="19" spans="1:7" ht="15.75">
      <c r="A19" s="480" t="s">
        <v>9</v>
      </c>
      <c r="B19" s="474">
        <v>268.94</v>
      </c>
      <c r="C19" s="488">
        <f>B19*1.2</f>
        <v>322.73</v>
      </c>
    </row>
    <row r="20" spans="1:7" ht="15.75">
      <c r="A20" s="480" t="s">
        <v>10</v>
      </c>
      <c r="B20" s="474">
        <v>44.64</v>
      </c>
      <c r="C20" s="488">
        <f>B20*1.2</f>
        <v>53.57</v>
      </c>
    </row>
    <row r="21" spans="1:7" ht="15.75">
      <c r="A21" s="476"/>
      <c r="B21" s="475"/>
      <c r="C21" s="488"/>
    </row>
    <row r="22" spans="1:7" ht="15.75">
      <c r="A22" s="481" t="s">
        <v>11</v>
      </c>
      <c r="B22" s="475"/>
      <c r="C22" s="488"/>
    </row>
    <row r="23" spans="1:7" ht="15.75">
      <c r="A23" s="478" t="s">
        <v>7</v>
      </c>
      <c r="B23" s="479">
        <f>SUM(B24:B26)</f>
        <v>2029.02</v>
      </c>
      <c r="C23" s="487">
        <f>SUM(C24:C26)</f>
        <v>2434.83</v>
      </c>
    </row>
    <row r="24" spans="1:7" ht="15.75">
      <c r="A24" s="480" t="s">
        <v>8</v>
      </c>
      <c r="B24" s="474">
        <v>1715.44</v>
      </c>
      <c r="C24" s="488">
        <f>B24*1.2</f>
        <v>2058.5300000000002</v>
      </c>
    </row>
    <row r="25" spans="1:7" ht="15.75">
      <c r="A25" s="480" t="s">
        <v>9</v>
      </c>
      <c r="B25" s="474">
        <v>268.94</v>
      </c>
      <c r="C25" s="488">
        <f>B25*1.2</f>
        <v>322.73</v>
      </c>
    </row>
    <row r="26" spans="1:7" ht="16.5" thickBot="1">
      <c r="A26" s="482" t="s">
        <v>10</v>
      </c>
      <c r="B26" s="483">
        <v>44.64</v>
      </c>
      <c r="C26" s="489">
        <f>B26*1.2</f>
        <v>53.57</v>
      </c>
    </row>
    <row r="27" spans="1:7" ht="22.5" customHeight="1">
      <c r="A27" s="477"/>
      <c r="B27" s="477"/>
      <c r="C27" s="477"/>
      <c r="D27" s="477"/>
      <c r="E27" s="477"/>
      <c r="F27" s="490"/>
      <c r="G27" s="477"/>
    </row>
    <row r="28" spans="1:7">
      <c r="A28" t="s">
        <v>382</v>
      </c>
    </row>
    <row r="29" spans="1:7" ht="39.75" hidden="1" customHeight="1">
      <c r="A29" s="583" t="s">
        <v>101</v>
      </c>
      <c r="B29" s="583"/>
      <c r="C29" s="583"/>
      <c r="D29" s="583"/>
      <c r="E29" s="583"/>
      <c r="F29" s="583"/>
    </row>
    <row r="30" spans="1:7" hidden="1"/>
    <row r="31" spans="1:7" ht="106.5" hidden="1" customHeight="1" thickBot="1">
      <c r="A31" s="81" t="s">
        <v>21</v>
      </c>
      <c r="B31" s="82" t="s">
        <v>4</v>
      </c>
      <c r="C31" s="83" t="s">
        <v>5</v>
      </c>
      <c r="D31" s="83" t="s">
        <v>387</v>
      </c>
      <c r="E31" s="82" t="s">
        <v>394</v>
      </c>
      <c r="F31" s="83" t="s">
        <v>395</v>
      </c>
    </row>
    <row r="32" spans="1:7" ht="49.5" hidden="1" customHeight="1" thickBot="1">
      <c r="A32" s="89" t="s">
        <v>20</v>
      </c>
      <c r="B32" s="87" t="e">
        <f>#REF!</f>
        <v>#REF!</v>
      </c>
      <c r="C32" s="88" t="e">
        <f>B32*1.2</f>
        <v>#REF!</v>
      </c>
      <c r="D32" s="88" t="e">
        <f>#REF!*1.2</f>
        <v>#REF!</v>
      </c>
      <c r="E32" s="87" t="e">
        <f>B32*B39</f>
        <v>#REF!</v>
      </c>
      <c r="F32" s="88" t="e">
        <f>E32*1.2</f>
        <v>#REF!</v>
      </c>
    </row>
    <row r="33" spans="1:9" hidden="1">
      <c r="I33" s="111" t="e">
        <f>B32-#REF!</f>
        <v>#REF!</v>
      </c>
    </row>
    <row r="34" spans="1:9" hidden="1"/>
    <row r="35" spans="1:9" hidden="1"/>
    <row r="36" spans="1:9" ht="13.5" hidden="1" thickBot="1">
      <c r="A36" s="77" t="s">
        <v>12</v>
      </c>
      <c r="B36" s="192">
        <v>1711.6</v>
      </c>
    </row>
    <row r="37" spans="1:9" hidden="1">
      <c r="A37" s="80" t="s">
        <v>13</v>
      </c>
      <c r="B37" s="84" t="e">
        <f>#REF!/B36</f>
        <v>#REF!</v>
      </c>
    </row>
    <row r="38" spans="1:9" hidden="1">
      <c r="A38" s="80" t="s">
        <v>388</v>
      </c>
      <c r="B38" s="85" t="e">
        <f>B37/12</f>
        <v>#REF!</v>
      </c>
    </row>
    <row r="39" spans="1:9" ht="26.25" hidden="1" thickBot="1">
      <c r="A39" s="78" t="s">
        <v>14</v>
      </c>
      <c r="B39" s="86" t="e">
        <f>B37/('Вхідні дані'!E30/365*12)</f>
        <v>#REF!</v>
      </c>
    </row>
    <row r="40" spans="1:9" hidden="1"/>
    <row r="41" spans="1:9" hidden="1">
      <c r="A41" s="110" t="s">
        <v>19</v>
      </c>
    </row>
    <row r="42" spans="1:9" hidden="1"/>
    <row r="43" spans="1:9" hidden="1">
      <c r="A43" t="s">
        <v>358</v>
      </c>
    </row>
    <row r="44" spans="1:9" hidden="1"/>
    <row r="45" spans="1:9" hidden="1">
      <c r="A45" t="s">
        <v>18</v>
      </c>
    </row>
    <row r="46" spans="1:9" hidden="1"/>
    <row r="47" spans="1:9" hidden="1"/>
    <row r="50" spans="1:8" ht="15">
      <c r="B50" s="71"/>
      <c r="C50" s="71"/>
      <c r="D50" s="71"/>
    </row>
    <row r="61" spans="1:8" ht="13.5">
      <c r="A61" s="577" t="s">
        <v>300</v>
      </c>
      <c r="B61" s="578"/>
      <c r="C61" s="578"/>
      <c r="D61" s="578"/>
      <c r="E61" s="578"/>
      <c r="F61" s="578"/>
      <c r="G61" s="578"/>
      <c r="H61" s="578"/>
    </row>
    <row r="62" spans="1:8" ht="15.75">
      <c r="A62" s="75"/>
      <c r="B62" s="75"/>
      <c r="C62" s="75"/>
      <c r="D62" s="75"/>
      <c r="E62" s="75"/>
    </row>
    <row r="63" spans="1:8" ht="15.75">
      <c r="A63" s="581" t="s">
        <v>301</v>
      </c>
      <c r="B63" s="582"/>
      <c r="C63" s="582"/>
      <c r="D63" s="582"/>
      <c r="E63" s="582"/>
      <c r="F63" s="582"/>
      <c r="G63" s="582"/>
      <c r="H63" s="582"/>
    </row>
  </sheetData>
  <mergeCells count="10">
    <mergeCell ref="A2:H2"/>
    <mergeCell ref="A3:H3"/>
    <mergeCell ref="A4:H4"/>
    <mergeCell ref="A7:G7"/>
    <mergeCell ref="A63:H63"/>
    <mergeCell ref="A61:H61"/>
    <mergeCell ref="A29:F29"/>
    <mergeCell ref="A8:A9"/>
    <mergeCell ref="B8:B9"/>
    <mergeCell ref="C8:C9"/>
  </mergeCells>
  <phoneticPr fontId="2" type="noConversion"/>
  <pageMargins left="0.9" right="0.7" top="0.75" bottom="0.75" header="0.33" footer="0.3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2"/>
  </sheetPr>
  <dimension ref="A1:W26"/>
  <sheetViews>
    <sheetView workbookViewId="0">
      <selection activeCell="A6" sqref="A6:Q20"/>
    </sheetView>
  </sheetViews>
  <sheetFormatPr defaultRowHeight="12.75"/>
  <cols>
    <col min="1" max="1" width="15" style="181" customWidth="1"/>
    <col min="2" max="2" width="12.140625" style="181" hidden="1" customWidth="1"/>
    <col min="3" max="4" width="9.140625" style="181" hidden="1" customWidth="1"/>
    <col min="5" max="6" width="10" style="181" hidden="1" customWidth="1"/>
    <col min="7" max="7" width="10" style="181" bestFit="1" customWidth="1"/>
    <col min="8" max="8" width="10" style="181" customWidth="1"/>
    <col min="9" max="9" width="11.140625" style="181" hidden="1" customWidth="1"/>
    <col min="10" max="14" width="0" style="181" hidden="1" customWidth="1"/>
    <col min="15" max="16" width="9.140625" style="181"/>
    <col min="17" max="17" width="9.5703125" style="181" bestFit="1" customWidth="1"/>
    <col min="18" max="22" width="0" style="181" hidden="1" customWidth="1"/>
    <col min="23" max="16384" width="9.140625" style="181"/>
  </cols>
  <sheetData>
    <row r="1" spans="1:23">
      <c r="A1" s="435" t="s">
        <v>46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23">
      <c r="A2" s="435" t="s">
        <v>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</row>
    <row r="3" spans="1:23">
      <c r="A3" s="435" t="s">
        <v>48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</row>
    <row r="4" spans="1:23">
      <c r="A4" s="435" t="s">
        <v>49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3">
      <c r="A5" s="435" t="s">
        <v>50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</row>
    <row r="6" spans="1:23" ht="76.5">
      <c r="A6" s="441" t="s">
        <v>51</v>
      </c>
      <c r="B6" s="497" t="s">
        <v>52</v>
      </c>
      <c r="C6" s="497"/>
      <c r="D6" s="497"/>
      <c r="E6" s="497"/>
      <c r="F6" s="497"/>
      <c r="G6" s="497" t="s">
        <v>53</v>
      </c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182"/>
      <c r="S6" s="442" t="s">
        <v>54</v>
      </c>
      <c r="T6" s="443" t="s">
        <v>55</v>
      </c>
      <c r="U6" s="443" t="s">
        <v>56</v>
      </c>
      <c r="V6" s="443" t="s">
        <v>57</v>
      </c>
    </row>
    <row r="7" spans="1:23" ht="38.25">
      <c r="A7" s="444"/>
      <c r="B7" s="190"/>
      <c r="C7" s="190"/>
      <c r="D7" s="190"/>
      <c r="E7" s="190"/>
      <c r="F7" s="190"/>
      <c r="G7" s="436" t="s">
        <v>0</v>
      </c>
      <c r="H7" s="436" t="s">
        <v>58</v>
      </c>
      <c r="I7" s="436"/>
      <c r="J7" s="436"/>
      <c r="K7" s="436"/>
      <c r="L7" s="436"/>
      <c r="M7" s="436"/>
      <c r="N7" s="436"/>
      <c r="O7" s="436" t="s">
        <v>59</v>
      </c>
      <c r="P7" s="436" t="s">
        <v>60</v>
      </c>
      <c r="Q7" s="436" t="s">
        <v>61</v>
      </c>
      <c r="R7" s="445"/>
      <c r="S7" s="190"/>
      <c r="T7" s="190"/>
      <c r="U7" s="190"/>
      <c r="V7" s="190"/>
    </row>
    <row r="8" spans="1:23">
      <c r="A8" s="204" t="s">
        <v>62</v>
      </c>
      <c r="B8" s="190"/>
      <c r="C8" s="190"/>
      <c r="D8" s="190"/>
      <c r="E8" s="437"/>
      <c r="F8" s="190"/>
      <c r="G8" s="204">
        <v>5085</v>
      </c>
      <c r="H8" s="446">
        <v>157.19</v>
      </c>
      <c r="I8" s="190"/>
      <c r="J8" s="190"/>
      <c r="K8" s="190"/>
      <c r="L8" s="190"/>
      <c r="M8" s="190"/>
      <c r="N8" s="190"/>
      <c r="O8" s="190">
        <v>567.20000000000005</v>
      </c>
      <c r="P8" s="190">
        <f t="shared" ref="P8:P16" si="0">SUM(G8:O8)</f>
        <v>5809.39</v>
      </c>
      <c r="Q8" s="437">
        <f t="shared" ref="Q8:Q16" si="1">P8*1.2</f>
        <v>6971.27</v>
      </c>
      <c r="R8" s="445"/>
      <c r="S8" s="190"/>
      <c r="T8" s="434"/>
      <c r="U8" s="190"/>
      <c r="V8" s="190"/>
      <c r="W8" s="447"/>
    </row>
    <row r="9" spans="1:23">
      <c r="A9" s="204" t="s">
        <v>63</v>
      </c>
      <c r="B9" s="190"/>
      <c r="C9" s="190"/>
      <c r="D9" s="190"/>
      <c r="E9" s="437"/>
      <c r="F9" s="190"/>
      <c r="G9" s="204">
        <v>6210</v>
      </c>
      <c r="H9" s="190">
        <v>157.19</v>
      </c>
      <c r="I9" s="190"/>
      <c r="J9" s="190"/>
      <c r="K9" s="190"/>
      <c r="L9" s="190"/>
      <c r="M9" s="190"/>
      <c r="N9" s="190"/>
      <c r="O9" s="190">
        <v>567.20000000000005</v>
      </c>
      <c r="P9" s="190">
        <f t="shared" si="0"/>
        <v>6934.39</v>
      </c>
      <c r="Q9" s="437">
        <f t="shared" si="1"/>
        <v>8321.27</v>
      </c>
      <c r="R9" s="445"/>
      <c r="S9" s="190"/>
      <c r="T9" s="434"/>
      <c r="U9" s="190"/>
      <c r="V9" s="190"/>
    </row>
    <row r="10" spans="1:23">
      <c r="A10" s="204" t="s">
        <v>64</v>
      </c>
      <c r="B10" s="204"/>
      <c r="C10" s="204"/>
      <c r="D10" s="204"/>
      <c r="E10" s="448"/>
      <c r="F10" s="204"/>
      <c r="G10" s="204">
        <v>6210</v>
      </c>
      <c r="H10" s="204">
        <v>157.19</v>
      </c>
      <c r="I10" s="204"/>
      <c r="J10" s="204"/>
      <c r="K10" s="204"/>
      <c r="L10" s="204"/>
      <c r="M10" s="204"/>
      <c r="N10" s="204"/>
      <c r="O10" s="204">
        <v>567.20000000000005</v>
      </c>
      <c r="P10" s="204">
        <f t="shared" si="0"/>
        <v>6934.39</v>
      </c>
      <c r="Q10" s="448">
        <f t="shared" si="1"/>
        <v>8321.27</v>
      </c>
      <c r="R10" s="445"/>
      <c r="S10" s="190"/>
      <c r="T10" s="434"/>
      <c r="U10" s="190"/>
      <c r="V10" s="190"/>
    </row>
    <row r="11" spans="1:23" hidden="1">
      <c r="A11" s="204" t="s">
        <v>65</v>
      </c>
      <c r="B11" s="190"/>
      <c r="C11" s="190"/>
      <c r="D11" s="190"/>
      <c r="E11" s="190"/>
      <c r="F11" s="190"/>
      <c r="G11" s="190"/>
      <c r="H11" s="190">
        <v>157.19</v>
      </c>
      <c r="I11" s="190"/>
      <c r="J11" s="190"/>
      <c r="K11" s="190"/>
      <c r="L11" s="190"/>
      <c r="M11" s="190"/>
      <c r="N11" s="190"/>
      <c r="O11" s="190">
        <v>567.20000000000005</v>
      </c>
      <c r="P11" s="190">
        <f t="shared" si="0"/>
        <v>724.39</v>
      </c>
      <c r="Q11" s="437">
        <f t="shared" si="1"/>
        <v>869.27</v>
      </c>
      <c r="R11" s="190"/>
      <c r="S11" s="446" t="e">
        <f>SUM(#REF!)</f>
        <v>#REF!</v>
      </c>
      <c r="T11" s="449" t="e">
        <f>SUM(#REF!)</f>
        <v>#REF!</v>
      </c>
      <c r="U11" s="446" t="e">
        <f>T11/S11*1000</f>
        <v>#REF!</v>
      </c>
      <c r="V11" s="446" t="e">
        <f>U11-165.5-567.2</f>
        <v>#REF!</v>
      </c>
    </row>
    <row r="12" spans="1:23" hidden="1">
      <c r="A12" s="203" t="s">
        <v>66</v>
      </c>
      <c r="B12" s="190"/>
      <c r="C12" s="190"/>
      <c r="D12" s="190"/>
      <c r="E12" s="190"/>
      <c r="F12" s="190"/>
      <c r="G12" s="190"/>
      <c r="H12" s="190">
        <v>157.19</v>
      </c>
      <c r="I12" s="190"/>
      <c r="J12" s="190"/>
      <c r="K12" s="190"/>
      <c r="L12" s="190"/>
      <c r="M12" s="190"/>
      <c r="N12" s="190"/>
      <c r="O12" s="190">
        <v>567.20000000000005</v>
      </c>
      <c r="P12" s="190">
        <f t="shared" si="0"/>
        <v>724.39</v>
      </c>
      <c r="Q12" s="437">
        <f t="shared" si="1"/>
        <v>869.27</v>
      </c>
      <c r="R12" s="190"/>
      <c r="S12" s="190"/>
      <c r="T12" s="190"/>
      <c r="U12" s="446" t="e">
        <f>U11*1.2</f>
        <v>#REF!</v>
      </c>
      <c r="V12" s="446" t="e">
        <f>V11*1.2</f>
        <v>#REF!</v>
      </c>
    </row>
    <row r="13" spans="1:23">
      <c r="A13" s="190" t="s">
        <v>67</v>
      </c>
      <c r="B13" s="190"/>
      <c r="C13" s="190"/>
      <c r="D13" s="190"/>
      <c r="E13" s="190"/>
      <c r="F13" s="190"/>
      <c r="G13" s="190">
        <v>5480</v>
      </c>
      <c r="H13" s="446">
        <v>124.16</v>
      </c>
      <c r="I13" s="190"/>
      <c r="J13" s="190"/>
      <c r="K13" s="190"/>
      <c r="L13" s="190"/>
      <c r="M13" s="190"/>
      <c r="N13" s="190"/>
      <c r="O13" s="450">
        <v>780</v>
      </c>
      <c r="P13" s="190">
        <f t="shared" si="0"/>
        <v>6384.16</v>
      </c>
      <c r="Q13" s="437">
        <f t="shared" si="1"/>
        <v>7660.99</v>
      </c>
    </row>
    <row r="14" spans="1:23">
      <c r="A14" s="190" t="s">
        <v>68</v>
      </c>
      <c r="B14" s="190">
        <v>6235.5</v>
      </c>
      <c r="C14" s="190">
        <v>165.5</v>
      </c>
      <c r="D14" s="190">
        <v>567.20000000000005</v>
      </c>
      <c r="E14" s="437">
        <f>B14+C14+D14</f>
        <v>6968.2</v>
      </c>
      <c r="F14" s="190">
        <f>E14*1.2</f>
        <v>8361.84</v>
      </c>
      <c r="G14" s="190">
        <v>5375</v>
      </c>
      <c r="H14" s="190">
        <v>124.16</v>
      </c>
      <c r="I14" s="190"/>
      <c r="J14" s="190"/>
      <c r="K14" s="190"/>
      <c r="L14" s="190"/>
      <c r="M14" s="190"/>
      <c r="N14" s="190"/>
      <c r="O14" s="437">
        <v>780</v>
      </c>
      <c r="P14" s="190">
        <f t="shared" si="0"/>
        <v>6279.16</v>
      </c>
      <c r="Q14" s="437">
        <f t="shared" si="1"/>
        <v>7534.99</v>
      </c>
    </row>
    <row r="15" spans="1:23">
      <c r="A15" s="190" t="s">
        <v>69</v>
      </c>
      <c r="B15" s="190"/>
      <c r="C15" s="190"/>
      <c r="D15" s="190"/>
      <c r="E15" s="437"/>
      <c r="F15" s="190"/>
      <c r="G15" s="190">
        <v>4170</v>
      </c>
      <c r="H15" s="190">
        <v>124.16</v>
      </c>
      <c r="I15" s="190"/>
      <c r="J15" s="190"/>
      <c r="K15" s="190"/>
      <c r="L15" s="190"/>
      <c r="M15" s="190"/>
      <c r="N15" s="190"/>
      <c r="O15" s="437">
        <v>780</v>
      </c>
      <c r="P15" s="190">
        <f t="shared" si="0"/>
        <v>5074.16</v>
      </c>
      <c r="Q15" s="437">
        <f t="shared" si="1"/>
        <v>6088.99</v>
      </c>
    </row>
    <row r="16" spans="1:23">
      <c r="A16" s="190" t="s">
        <v>70</v>
      </c>
      <c r="B16" s="190"/>
      <c r="C16" s="190"/>
      <c r="D16" s="190"/>
      <c r="E16" s="437"/>
      <c r="F16" s="190"/>
      <c r="G16" s="190">
        <v>4170</v>
      </c>
      <c r="H16" s="190">
        <v>124.16</v>
      </c>
      <c r="I16" s="190"/>
      <c r="J16" s="190"/>
      <c r="K16" s="190"/>
      <c r="L16" s="190"/>
      <c r="M16" s="190"/>
      <c r="N16" s="190"/>
      <c r="O16" s="437">
        <v>780</v>
      </c>
      <c r="P16" s="190">
        <f t="shared" si="0"/>
        <v>5074.16</v>
      </c>
      <c r="Q16" s="437">
        <f t="shared" si="1"/>
        <v>6088.99</v>
      </c>
    </row>
    <row r="17" spans="1:17">
      <c r="A17" s="190"/>
      <c r="B17" s="190"/>
      <c r="C17" s="190"/>
      <c r="D17" s="190"/>
      <c r="E17" s="437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</row>
    <row r="18" spans="1:17">
      <c r="A18" s="451" t="s">
        <v>71</v>
      </c>
      <c r="B18" s="451"/>
      <c r="C18" s="451"/>
      <c r="D18" s="451"/>
      <c r="E18" s="451"/>
      <c r="F18" s="451"/>
      <c r="G18" s="452">
        <v>7500</v>
      </c>
      <c r="H18" s="451">
        <v>157.19</v>
      </c>
      <c r="I18" s="451"/>
      <c r="J18" s="451"/>
      <c r="K18" s="451"/>
      <c r="L18" s="451"/>
      <c r="M18" s="451"/>
      <c r="N18" s="451"/>
      <c r="O18" s="451">
        <v>567.20000000000005</v>
      </c>
      <c r="P18" s="452">
        <f>SUM(G18:O18)</f>
        <v>8224.39</v>
      </c>
      <c r="Q18" s="453">
        <f>P18*1.2</f>
        <v>9869.27</v>
      </c>
    </row>
    <row r="20" spans="1:17" ht="48" customHeight="1">
      <c r="A20" s="436" t="s">
        <v>72</v>
      </c>
      <c r="B20" s="190"/>
      <c r="C20" s="190"/>
      <c r="D20" s="190"/>
      <c r="E20" s="190"/>
      <c r="F20" s="190"/>
      <c r="G20" s="454">
        <f>(G8+G9+G10+G13+G14+G15+G16)/7</f>
        <v>5243</v>
      </c>
    </row>
    <row r="22" spans="1:17">
      <c r="A22" s="181" t="s">
        <v>43</v>
      </c>
    </row>
    <row r="24" spans="1:17">
      <c r="A24" s="181" t="s">
        <v>44</v>
      </c>
    </row>
    <row r="26" spans="1:17">
      <c r="A26" s="181" t="s">
        <v>45</v>
      </c>
    </row>
  </sheetData>
  <mergeCells count="2">
    <mergeCell ref="B6:F6"/>
    <mergeCell ref="G6:Q6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8"/>
  </sheetPr>
  <dimension ref="A1:W26"/>
  <sheetViews>
    <sheetView workbookViewId="0">
      <selection activeCell="A6" sqref="A6:Q20"/>
    </sheetView>
  </sheetViews>
  <sheetFormatPr defaultRowHeight="12.75"/>
  <cols>
    <col min="1" max="1" width="15" style="181" customWidth="1"/>
    <col min="2" max="2" width="12.140625" style="181" hidden="1" customWidth="1"/>
    <col min="3" max="4" width="9.140625" style="181" hidden="1" customWidth="1"/>
    <col min="5" max="6" width="10" style="181" hidden="1" customWidth="1"/>
    <col min="7" max="7" width="10" style="181" bestFit="1" customWidth="1"/>
    <col min="8" max="8" width="10" style="181" customWidth="1"/>
    <col min="9" max="9" width="11.140625" style="181" hidden="1" customWidth="1"/>
    <col min="10" max="14" width="0" style="181" hidden="1" customWidth="1"/>
    <col min="15" max="17" width="9.140625" style="181"/>
    <col min="18" max="22" width="0" style="181" hidden="1" customWidth="1"/>
    <col min="23" max="16384" width="9.140625" style="181"/>
  </cols>
  <sheetData>
    <row r="1" spans="1:23">
      <c r="A1" s="435" t="s">
        <v>46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23">
      <c r="A2" s="435" t="s">
        <v>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</row>
    <row r="3" spans="1:23">
      <c r="A3" s="435" t="s">
        <v>48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</row>
    <row r="4" spans="1:23">
      <c r="A4" s="435" t="s">
        <v>49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3">
      <c r="A5" s="435" t="s">
        <v>50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</row>
    <row r="6" spans="1:23" ht="76.5">
      <c r="A6" s="441" t="s">
        <v>51</v>
      </c>
      <c r="B6" s="498" t="s">
        <v>52</v>
      </c>
      <c r="C6" s="499"/>
      <c r="D6" s="499"/>
      <c r="E6" s="499"/>
      <c r="F6" s="500"/>
      <c r="G6" s="498" t="s">
        <v>73</v>
      </c>
      <c r="H6" s="499"/>
      <c r="I6" s="499"/>
      <c r="J6" s="499"/>
      <c r="K6" s="499"/>
      <c r="L6" s="499"/>
      <c r="M6" s="499"/>
      <c r="N6" s="499"/>
      <c r="O6" s="499"/>
      <c r="P6" s="499"/>
      <c r="Q6" s="500"/>
      <c r="R6" s="444"/>
      <c r="S6" s="436" t="s">
        <v>54</v>
      </c>
      <c r="T6" s="107" t="s">
        <v>55</v>
      </c>
      <c r="U6" s="107" t="s">
        <v>56</v>
      </c>
      <c r="V6" s="107" t="s">
        <v>57</v>
      </c>
    </row>
    <row r="7" spans="1:23" ht="38.25">
      <c r="A7" s="444"/>
      <c r="B7" s="190"/>
      <c r="C7" s="190"/>
      <c r="D7" s="190"/>
      <c r="E7" s="190"/>
      <c r="F7" s="190"/>
      <c r="G7" s="436" t="s">
        <v>0</v>
      </c>
      <c r="H7" s="436" t="s">
        <v>58</v>
      </c>
      <c r="I7" s="436"/>
      <c r="J7" s="436"/>
      <c r="K7" s="436"/>
      <c r="L7" s="436"/>
      <c r="M7" s="436"/>
      <c r="N7" s="436"/>
      <c r="O7" s="436" t="s">
        <v>59</v>
      </c>
      <c r="P7" s="436" t="s">
        <v>60</v>
      </c>
      <c r="Q7" s="436" t="s">
        <v>61</v>
      </c>
      <c r="R7" s="445"/>
      <c r="S7" s="190"/>
      <c r="T7" s="190"/>
      <c r="U7" s="190"/>
      <c r="V7" s="190"/>
    </row>
    <row r="8" spans="1:23">
      <c r="A8" s="204" t="s">
        <v>62</v>
      </c>
      <c r="B8" s="190"/>
      <c r="C8" s="190"/>
      <c r="D8" s="190"/>
      <c r="E8" s="437"/>
      <c r="F8" s="190"/>
      <c r="G8" s="204">
        <v>5085</v>
      </c>
      <c r="H8" s="446">
        <v>157.19</v>
      </c>
      <c r="I8" s="190"/>
      <c r="J8" s="190"/>
      <c r="K8" s="190"/>
      <c r="L8" s="190"/>
      <c r="M8" s="190"/>
      <c r="N8" s="190"/>
      <c r="O8" s="190">
        <v>567.20000000000005</v>
      </c>
      <c r="P8" s="190">
        <f t="shared" ref="P8:P13" si="0">SUM(G8:O8)</f>
        <v>5809.39</v>
      </c>
      <c r="Q8" s="437">
        <f t="shared" ref="Q8:Q16" si="1">P8*1.2</f>
        <v>6971.27</v>
      </c>
      <c r="R8" s="445"/>
      <c r="S8" s="190"/>
      <c r="T8" s="434"/>
      <c r="U8" s="190"/>
      <c r="V8" s="190"/>
      <c r="W8" s="447"/>
    </row>
    <row r="9" spans="1:23">
      <c r="A9" s="204" t="s">
        <v>63</v>
      </c>
      <c r="B9" s="190"/>
      <c r="C9" s="190"/>
      <c r="D9" s="190"/>
      <c r="E9" s="437"/>
      <c r="F9" s="190"/>
      <c r="G9" s="204">
        <v>6210</v>
      </c>
      <c r="H9" s="190">
        <v>157.19</v>
      </c>
      <c r="I9" s="190"/>
      <c r="J9" s="190"/>
      <c r="K9" s="190"/>
      <c r="L9" s="190"/>
      <c r="M9" s="190"/>
      <c r="N9" s="190"/>
      <c r="O9" s="190">
        <v>567.20000000000005</v>
      </c>
      <c r="P9" s="190">
        <f t="shared" si="0"/>
        <v>6934.39</v>
      </c>
      <c r="Q9" s="437">
        <f t="shared" si="1"/>
        <v>8321.27</v>
      </c>
      <c r="R9" s="445"/>
      <c r="S9" s="190"/>
      <c r="T9" s="434"/>
      <c r="U9" s="190"/>
      <c r="V9" s="190"/>
    </row>
    <row r="10" spans="1:23">
      <c r="A10" s="204" t="s">
        <v>64</v>
      </c>
      <c r="B10" s="204"/>
      <c r="C10" s="204"/>
      <c r="D10" s="204"/>
      <c r="E10" s="448"/>
      <c r="F10" s="204"/>
      <c r="G10" s="204">
        <v>6210</v>
      </c>
      <c r="H10" s="204">
        <v>157.19</v>
      </c>
      <c r="I10" s="204"/>
      <c r="J10" s="204"/>
      <c r="K10" s="204"/>
      <c r="L10" s="204"/>
      <c r="M10" s="204"/>
      <c r="N10" s="204"/>
      <c r="O10" s="204">
        <v>567.20000000000005</v>
      </c>
      <c r="P10" s="204">
        <f t="shared" si="0"/>
        <v>6934.39</v>
      </c>
      <c r="Q10" s="448">
        <f t="shared" si="1"/>
        <v>8321.27</v>
      </c>
      <c r="R10" s="445"/>
      <c r="S10" s="190"/>
      <c r="T10" s="434"/>
      <c r="U10" s="190"/>
      <c r="V10" s="190"/>
    </row>
    <row r="11" spans="1:23" hidden="1">
      <c r="A11" s="204" t="s">
        <v>65</v>
      </c>
      <c r="B11" s="190"/>
      <c r="C11" s="190"/>
      <c r="D11" s="190"/>
      <c r="E11" s="190"/>
      <c r="F11" s="190"/>
      <c r="G11" s="190"/>
      <c r="H11" s="190">
        <v>157.19</v>
      </c>
      <c r="I11" s="190"/>
      <c r="J11" s="190"/>
      <c r="K11" s="190"/>
      <c r="L11" s="190"/>
      <c r="M11" s="190"/>
      <c r="N11" s="190"/>
      <c r="O11" s="190">
        <v>567.20000000000005</v>
      </c>
      <c r="P11" s="190">
        <f t="shared" si="0"/>
        <v>724.39</v>
      </c>
      <c r="Q11" s="437">
        <f t="shared" si="1"/>
        <v>869.27</v>
      </c>
      <c r="R11" s="190"/>
      <c r="S11" s="446" t="e">
        <f>SUM(#REF!)</f>
        <v>#REF!</v>
      </c>
      <c r="T11" s="449" t="e">
        <f>SUM(#REF!)</f>
        <v>#REF!</v>
      </c>
      <c r="U11" s="446" t="e">
        <f>T11/S11*1000</f>
        <v>#REF!</v>
      </c>
      <c r="V11" s="446" t="e">
        <f>U11-165.5-567.2</f>
        <v>#REF!</v>
      </c>
    </row>
    <row r="12" spans="1:23" hidden="1">
      <c r="A12" s="203" t="s">
        <v>66</v>
      </c>
      <c r="B12" s="190"/>
      <c r="C12" s="190"/>
      <c r="D12" s="190"/>
      <c r="E12" s="190"/>
      <c r="F12" s="190"/>
      <c r="G12" s="190"/>
      <c r="H12" s="190">
        <v>157.19</v>
      </c>
      <c r="I12" s="190"/>
      <c r="J12" s="190"/>
      <c r="K12" s="190"/>
      <c r="L12" s="190"/>
      <c r="M12" s="190"/>
      <c r="N12" s="190"/>
      <c r="O12" s="190">
        <v>567.20000000000005</v>
      </c>
      <c r="P12" s="190">
        <f t="shared" si="0"/>
        <v>724.39</v>
      </c>
      <c r="Q12" s="437">
        <f t="shared" si="1"/>
        <v>869.27</v>
      </c>
      <c r="R12" s="190"/>
      <c r="S12" s="190"/>
      <c r="T12" s="190"/>
      <c r="U12" s="446" t="e">
        <f>U11*1.2</f>
        <v>#REF!</v>
      </c>
      <c r="V12" s="446" t="e">
        <f>V11*1.2</f>
        <v>#REF!</v>
      </c>
    </row>
    <row r="13" spans="1:23">
      <c r="A13" s="190" t="s">
        <v>67</v>
      </c>
      <c r="B13" s="190"/>
      <c r="C13" s="190"/>
      <c r="D13" s="190"/>
      <c r="E13" s="190"/>
      <c r="F13" s="190"/>
      <c r="G13" s="190">
        <v>5820</v>
      </c>
      <c r="H13" s="446">
        <v>124.16</v>
      </c>
      <c r="I13" s="190"/>
      <c r="J13" s="190"/>
      <c r="K13" s="190"/>
      <c r="L13" s="190"/>
      <c r="M13" s="190"/>
      <c r="N13" s="190"/>
      <c r="O13" s="450">
        <v>780</v>
      </c>
      <c r="P13" s="190">
        <f t="shared" si="0"/>
        <v>6724.16</v>
      </c>
      <c r="Q13" s="437">
        <f t="shared" si="1"/>
        <v>8068.99</v>
      </c>
    </row>
    <row r="14" spans="1:23">
      <c r="A14" s="190" t="s">
        <v>68</v>
      </c>
      <c r="B14" s="190">
        <v>6235.5</v>
      </c>
      <c r="C14" s="190">
        <v>165.5</v>
      </c>
      <c r="D14" s="190">
        <v>567.20000000000005</v>
      </c>
      <c r="E14" s="437">
        <f>B14+C14+D14</f>
        <v>6968.2</v>
      </c>
      <c r="F14" s="190">
        <f>E14*1.2</f>
        <v>8361.84</v>
      </c>
      <c r="G14" s="190">
        <v>5700</v>
      </c>
      <c r="H14" s="190">
        <v>124.16</v>
      </c>
      <c r="I14" s="190"/>
      <c r="J14" s="190"/>
      <c r="K14" s="190"/>
      <c r="L14" s="190"/>
      <c r="M14" s="190"/>
      <c r="N14" s="190"/>
      <c r="O14" s="437">
        <v>780</v>
      </c>
      <c r="P14" s="190">
        <f>SUM(G14:O14)</f>
        <v>6604.16</v>
      </c>
      <c r="Q14" s="437">
        <f t="shared" si="1"/>
        <v>7924.99</v>
      </c>
    </row>
    <row r="15" spans="1:23">
      <c r="A15" s="190" t="s">
        <v>69</v>
      </c>
      <c r="B15" s="190"/>
      <c r="C15" s="190"/>
      <c r="D15" s="190"/>
      <c r="E15" s="437"/>
      <c r="F15" s="190"/>
      <c r="G15" s="190">
        <v>4250</v>
      </c>
      <c r="H15" s="190">
        <v>124.16</v>
      </c>
      <c r="I15" s="190"/>
      <c r="J15" s="190"/>
      <c r="K15" s="190"/>
      <c r="L15" s="190"/>
      <c r="M15" s="190"/>
      <c r="N15" s="190"/>
      <c r="O15" s="437">
        <v>780</v>
      </c>
      <c r="P15" s="190">
        <f>SUM(G15:O15)</f>
        <v>5154.16</v>
      </c>
      <c r="Q15" s="437">
        <f t="shared" si="1"/>
        <v>6184.99</v>
      </c>
    </row>
    <row r="16" spans="1:23">
      <c r="A16" s="190" t="s">
        <v>70</v>
      </c>
      <c r="B16" s="190"/>
      <c r="C16" s="190"/>
      <c r="D16" s="190"/>
      <c r="E16" s="190"/>
      <c r="F16" s="190"/>
      <c r="G16" s="190">
        <v>4250</v>
      </c>
      <c r="H16" s="190">
        <v>124.16</v>
      </c>
      <c r="I16" s="190"/>
      <c r="J16" s="190"/>
      <c r="K16" s="190"/>
      <c r="L16" s="190"/>
      <c r="M16" s="190"/>
      <c r="N16" s="190"/>
      <c r="O16" s="437">
        <v>780</v>
      </c>
      <c r="P16" s="190">
        <f>SUM(G16:O16)</f>
        <v>5154.16</v>
      </c>
      <c r="Q16" s="437">
        <f t="shared" si="1"/>
        <v>6184.99</v>
      </c>
    </row>
    <row r="17" spans="1:17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437"/>
      <c r="P17" s="190"/>
      <c r="Q17" s="437"/>
    </row>
    <row r="18" spans="1:17">
      <c r="A18" s="451" t="s">
        <v>71</v>
      </c>
      <c r="B18" s="451"/>
      <c r="C18" s="451"/>
      <c r="D18" s="451"/>
      <c r="E18" s="451"/>
      <c r="F18" s="451"/>
      <c r="G18" s="452">
        <v>7500</v>
      </c>
      <c r="H18" s="451">
        <v>157.19</v>
      </c>
      <c r="I18" s="451"/>
      <c r="J18" s="451"/>
      <c r="K18" s="451"/>
      <c r="L18" s="451"/>
      <c r="M18" s="451"/>
      <c r="N18" s="451"/>
      <c r="O18" s="451">
        <v>567.20000000000005</v>
      </c>
      <c r="P18" s="452">
        <f>SUM(G18:O18)</f>
        <v>8224.39</v>
      </c>
      <c r="Q18" s="453">
        <f>P18*1.2</f>
        <v>9869.27</v>
      </c>
    </row>
    <row r="20" spans="1:17" ht="38.25">
      <c r="A20" s="436" t="s">
        <v>72</v>
      </c>
      <c r="B20" s="190"/>
      <c r="C20" s="190"/>
      <c r="D20" s="190"/>
      <c r="E20" s="190"/>
      <c r="F20" s="190"/>
      <c r="G20" s="454">
        <f>(G8+G9+G10+G13+G14+G15+G16)/7</f>
        <v>5361</v>
      </c>
    </row>
    <row r="22" spans="1:17">
      <c r="A22" s="181" t="s">
        <v>43</v>
      </c>
    </row>
    <row r="24" spans="1:17">
      <c r="A24" s="181" t="s">
        <v>44</v>
      </c>
    </row>
    <row r="26" spans="1:17">
      <c r="A26" s="181" t="s">
        <v>45</v>
      </c>
    </row>
  </sheetData>
  <mergeCells count="2">
    <mergeCell ref="B6:F6"/>
    <mergeCell ref="G6:Q6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J26" sqref="J26"/>
    </sheetView>
  </sheetViews>
  <sheetFormatPr defaultRowHeight="12.75"/>
  <cols>
    <col min="1" max="1" width="13.7109375" style="181" customWidth="1"/>
    <col min="2" max="16384" width="9.140625" style="181"/>
  </cols>
  <sheetData>
    <row r="1" spans="1:9" ht="27.75" customHeight="1">
      <c r="A1" s="501"/>
      <c r="B1" s="501"/>
      <c r="C1" s="501"/>
      <c r="D1" s="501"/>
      <c r="E1" s="501"/>
      <c r="F1" s="501"/>
      <c r="G1" s="501"/>
      <c r="H1" s="501"/>
      <c r="I1" s="501"/>
    </row>
    <row r="4" spans="1:9" ht="51">
      <c r="A4" s="190"/>
      <c r="B4" s="190" t="s">
        <v>74</v>
      </c>
      <c r="C4" s="190" t="s">
        <v>75</v>
      </c>
      <c r="D4" s="190" t="s">
        <v>76</v>
      </c>
      <c r="E4" s="190" t="s">
        <v>65</v>
      </c>
      <c r="F4" s="455" t="s">
        <v>77</v>
      </c>
      <c r="G4" s="456" t="s">
        <v>78</v>
      </c>
      <c r="H4" s="456" t="s">
        <v>79</v>
      </c>
    </row>
    <row r="5" spans="1:9">
      <c r="A5" s="190"/>
      <c r="B5" s="190"/>
      <c r="C5" s="190"/>
      <c r="D5" s="190"/>
      <c r="E5" s="190"/>
      <c r="F5" s="190"/>
      <c r="G5" s="190"/>
      <c r="H5" s="190"/>
    </row>
    <row r="6" spans="1:9">
      <c r="A6" s="190" t="s">
        <v>80</v>
      </c>
      <c r="B6" s="190">
        <f>5808-37</f>
        <v>5771</v>
      </c>
      <c r="C6" s="190">
        <f>55463-625</f>
        <v>54838</v>
      </c>
      <c r="D6" s="190">
        <v>4684</v>
      </c>
      <c r="E6" s="190">
        <f t="shared" ref="E6:E12" si="0">SUM(B6:D6)</f>
        <v>65293</v>
      </c>
      <c r="F6" s="190"/>
      <c r="G6" s="190"/>
      <c r="H6" s="190"/>
    </row>
    <row r="7" spans="1:9">
      <c r="A7" s="190" t="s">
        <v>81</v>
      </c>
      <c r="B7" s="190">
        <f>21198-101</f>
        <v>21097</v>
      </c>
      <c r="C7" s="190">
        <f>213220-1922</f>
        <v>211298</v>
      </c>
      <c r="D7" s="190">
        <f>17258-72-(1953-15)</f>
        <v>15248</v>
      </c>
      <c r="E7" s="190">
        <f t="shared" si="0"/>
        <v>247643</v>
      </c>
      <c r="F7" s="190"/>
      <c r="G7" s="190"/>
      <c r="H7" s="190"/>
    </row>
    <row r="8" spans="1:9">
      <c r="A8" s="190" t="s">
        <v>82</v>
      </c>
      <c r="B8" s="190">
        <f>18220-47</f>
        <v>18173</v>
      </c>
      <c r="C8" s="190">
        <f>267622-1816</f>
        <v>265806</v>
      </c>
      <c r="D8" s="190">
        <f>23963-2369</f>
        <v>21594</v>
      </c>
      <c r="E8" s="190">
        <f t="shared" si="0"/>
        <v>305573</v>
      </c>
      <c r="F8" s="190"/>
      <c r="G8" s="190"/>
      <c r="H8" s="190"/>
    </row>
    <row r="9" spans="1:9">
      <c r="A9" s="190" t="s">
        <v>83</v>
      </c>
      <c r="B9" s="190">
        <f>20997-50</f>
        <v>20947</v>
      </c>
      <c r="C9" s="190">
        <f>266803-1476</f>
        <v>265327</v>
      </c>
      <c r="D9" s="190">
        <v>28399</v>
      </c>
      <c r="E9" s="190">
        <f t="shared" si="0"/>
        <v>314673</v>
      </c>
      <c r="F9" s="190"/>
      <c r="G9" s="190"/>
      <c r="H9" s="190"/>
    </row>
    <row r="10" spans="1:9">
      <c r="A10" s="190" t="s">
        <v>84</v>
      </c>
      <c r="B10" s="190">
        <f>15007-40</f>
        <v>14967</v>
      </c>
      <c r="C10" s="190">
        <f>214680-1219</f>
        <v>213461</v>
      </c>
      <c r="D10" s="190">
        <v>20361</v>
      </c>
      <c r="E10" s="190">
        <f t="shared" si="0"/>
        <v>248789</v>
      </c>
      <c r="F10" s="190"/>
      <c r="G10" s="190"/>
      <c r="H10" s="190"/>
    </row>
    <row r="11" spans="1:9">
      <c r="A11" s="190" t="s">
        <v>85</v>
      </c>
      <c r="B11" s="190">
        <f>14890-52</f>
        <v>14838</v>
      </c>
      <c r="C11" s="190">
        <f>198268-1348</f>
        <v>196920</v>
      </c>
      <c r="D11" s="190">
        <v>19739</v>
      </c>
      <c r="E11" s="190">
        <f t="shared" si="0"/>
        <v>231497</v>
      </c>
      <c r="F11" s="190"/>
      <c r="G11" s="190"/>
      <c r="H11" s="190"/>
    </row>
    <row r="12" spans="1:9">
      <c r="A12" s="190" t="s">
        <v>86</v>
      </c>
      <c r="B12" s="190">
        <f>1555-9</f>
        <v>1546</v>
      </c>
      <c r="C12" s="190">
        <f>64558-591</f>
        <v>63967</v>
      </c>
      <c r="D12" s="190">
        <f>3525-558</f>
        <v>2967</v>
      </c>
      <c r="E12" s="190">
        <f t="shared" si="0"/>
        <v>68480</v>
      </c>
      <c r="F12" s="190"/>
      <c r="G12" s="190"/>
      <c r="H12" s="190"/>
    </row>
    <row r="13" spans="1:9">
      <c r="A13" s="190" t="s">
        <v>65</v>
      </c>
      <c r="B13" s="190">
        <f>SUM(B6:B12)</f>
        <v>97339</v>
      </c>
      <c r="C13" s="190">
        <f>SUM(C6:C12)</f>
        <v>1271617</v>
      </c>
      <c r="D13" s="190">
        <f>SUM(D6:D12)</f>
        <v>112992</v>
      </c>
      <c r="E13" s="190">
        <f>SUM(E6:E12)</f>
        <v>1481948</v>
      </c>
      <c r="F13" s="434">
        <f>E13/12</f>
        <v>123496</v>
      </c>
      <c r="G13" s="446">
        <v>0.78</v>
      </c>
      <c r="H13" s="446">
        <f>F13*G13</f>
        <v>96326.88</v>
      </c>
    </row>
    <row r="14" spans="1:9" ht="38.25">
      <c r="A14" s="107" t="s">
        <v>87</v>
      </c>
      <c r="B14" s="439">
        <f>B13/E13</f>
        <v>6.5699999999999995E-2</v>
      </c>
      <c r="C14" s="439">
        <f>C13/E13</f>
        <v>0.85809999999999997</v>
      </c>
      <c r="D14" s="439">
        <f>D13/E13</f>
        <v>7.6200000000000004E-2</v>
      </c>
      <c r="E14" s="446">
        <f>SUM(B14:D14)</f>
        <v>1</v>
      </c>
      <c r="F14" s="190"/>
      <c r="G14" s="190"/>
      <c r="H14" s="190"/>
    </row>
  </sheetData>
  <mergeCells count="1">
    <mergeCell ref="A1:I1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2"/>
  </sheetPr>
  <dimension ref="A1:W20"/>
  <sheetViews>
    <sheetView workbookViewId="0">
      <selection activeCell="H34" sqref="H34"/>
    </sheetView>
  </sheetViews>
  <sheetFormatPr defaultRowHeight="12.75"/>
  <cols>
    <col min="1" max="1" width="4.7109375" style="181" customWidth="1"/>
    <col min="2" max="2" width="13.7109375" style="181" customWidth="1"/>
    <col min="3" max="3" width="13.7109375" style="181" bestFit="1" customWidth="1"/>
    <col min="4" max="4" width="10.140625" style="181" bestFit="1" customWidth="1"/>
    <col min="5" max="5" width="12.7109375" style="181" customWidth="1"/>
    <col min="6" max="7" width="9.140625" style="181"/>
    <col min="8" max="8" width="11.5703125" style="181" customWidth="1"/>
    <col min="9" max="16384" width="9.140625" style="181"/>
  </cols>
  <sheetData>
    <row r="1" spans="1:23" ht="27.75" customHeight="1">
      <c r="A1" s="435" t="s">
        <v>28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23">
      <c r="A2" s="435" t="s">
        <v>29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</row>
    <row r="3" spans="1:23">
      <c r="A3" s="435" t="s">
        <v>30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</row>
    <row r="4" spans="1:23">
      <c r="A4" s="435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3">
      <c r="A5" s="502" t="s">
        <v>31</v>
      </c>
      <c r="B5" s="503"/>
      <c r="C5" s="503"/>
      <c r="D5" s="503"/>
      <c r="E5" s="503"/>
      <c r="F5" s="504" t="s">
        <v>32</v>
      </c>
      <c r="G5" s="504"/>
      <c r="H5" s="504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</row>
    <row r="6" spans="1:23" ht="25.5">
      <c r="A6" s="190"/>
      <c r="B6" s="190"/>
      <c r="C6" s="190" t="s">
        <v>33</v>
      </c>
      <c r="D6" s="436" t="s">
        <v>34</v>
      </c>
      <c r="E6" s="436" t="s">
        <v>35</v>
      </c>
      <c r="F6" s="190" t="s">
        <v>33</v>
      </c>
      <c r="G6" s="436" t="s">
        <v>34</v>
      </c>
      <c r="H6" s="436" t="s">
        <v>35</v>
      </c>
    </row>
    <row r="7" spans="1:23">
      <c r="A7" s="190">
        <v>1</v>
      </c>
      <c r="B7" s="190" t="s">
        <v>36</v>
      </c>
      <c r="C7" s="437">
        <v>216392.84</v>
      </c>
      <c r="D7" s="190">
        <v>104960</v>
      </c>
      <c r="E7" s="438">
        <f t="shared" ref="E7:E12" si="0">C7/D7</f>
        <v>2.0616699999999999</v>
      </c>
      <c r="F7" s="437">
        <v>5981.32</v>
      </c>
      <c r="G7" s="190">
        <v>42688</v>
      </c>
      <c r="H7" s="438">
        <f t="shared" ref="H7:H12" si="1">F7/G7</f>
        <v>0.14011699999999999</v>
      </c>
    </row>
    <row r="8" spans="1:23">
      <c r="A8" s="190">
        <v>2</v>
      </c>
      <c r="B8" s="190" t="s">
        <v>37</v>
      </c>
      <c r="C8" s="437">
        <v>265838.25</v>
      </c>
      <c r="D8" s="190">
        <v>121150</v>
      </c>
      <c r="E8" s="438">
        <f t="shared" si="0"/>
        <v>2.1942900000000001</v>
      </c>
      <c r="F8" s="437">
        <v>6594.46</v>
      </c>
      <c r="G8" s="190">
        <v>46240</v>
      </c>
      <c r="H8" s="438">
        <f t="shared" si="1"/>
        <v>0.14261399999999999</v>
      </c>
    </row>
    <row r="9" spans="1:23">
      <c r="A9" s="190">
        <v>3</v>
      </c>
      <c r="B9" s="190" t="s">
        <v>38</v>
      </c>
      <c r="C9" s="437">
        <v>254302.85</v>
      </c>
      <c r="D9" s="190">
        <v>115893</v>
      </c>
      <c r="E9" s="438">
        <f t="shared" si="0"/>
        <v>2.1942900000000001</v>
      </c>
      <c r="F9" s="437">
        <v>6204.51</v>
      </c>
      <c r="G9" s="190">
        <v>49560</v>
      </c>
      <c r="H9" s="438">
        <f t="shared" si="1"/>
        <v>0.125192</v>
      </c>
    </row>
    <row r="10" spans="1:23">
      <c r="A10" s="190">
        <v>4</v>
      </c>
      <c r="B10" s="190" t="s">
        <v>39</v>
      </c>
      <c r="C10" s="437">
        <v>203215.39</v>
      </c>
      <c r="D10" s="190">
        <v>92611</v>
      </c>
      <c r="E10" s="438">
        <f t="shared" si="0"/>
        <v>2.1942900000000001</v>
      </c>
      <c r="F10" s="437">
        <v>3897.82</v>
      </c>
      <c r="G10" s="190">
        <v>35461</v>
      </c>
      <c r="H10" s="438">
        <f t="shared" si="1"/>
        <v>0.109919</v>
      </c>
    </row>
    <row r="11" spans="1:23">
      <c r="A11" s="190">
        <v>5</v>
      </c>
      <c r="B11" s="190" t="s">
        <v>40</v>
      </c>
      <c r="C11" s="437">
        <v>15849.95</v>
      </c>
      <c r="D11" s="190">
        <v>8696</v>
      </c>
      <c r="E11" s="438">
        <f t="shared" si="0"/>
        <v>1.8226709999999999</v>
      </c>
      <c r="F11" s="437">
        <v>280.98</v>
      </c>
      <c r="G11" s="190">
        <v>1944</v>
      </c>
      <c r="H11" s="438">
        <f t="shared" si="1"/>
        <v>0.144537</v>
      </c>
    </row>
    <row r="12" spans="1:23">
      <c r="A12" s="190">
        <v>6</v>
      </c>
      <c r="B12" s="190" t="s">
        <v>41</v>
      </c>
      <c r="C12" s="437">
        <v>5477.1</v>
      </c>
      <c r="D12" s="190">
        <v>3005</v>
      </c>
      <c r="E12" s="438">
        <f t="shared" si="0"/>
        <v>1.822662</v>
      </c>
      <c r="F12" s="437">
        <v>0</v>
      </c>
      <c r="G12" s="190">
        <v>1441</v>
      </c>
      <c r="H12" s="438">
        <f t="shared" si="1"/>
        <v>0</v>
      </c>
    </row>
    <row r="13" spans="1:23" ht="51">
      <c r="A13" s="190"/>
      <c r="B13" s="107" t="s">
        <v>42</v>
      </c>
      <c r="C13" s="439"/>
      <c r="D13" s="439"/>
      <c r="E13" s="440">
        <f>(E7+E8+E9+E10+E11+E12)/6</f>
        <v>2.0483121999999998</v>
      </c>
      <c r="F13" s="190"/>
      <c r="G13" s="190"/>
      <c r="H13" s="440">
        <f>(H7+H8+H9+H10+H11)/5</f>
        <v>0.1324758</v>
      </c>
    </row>
    <row r="16" spans="1:23">
      <c r="A16" s="181" t="s">
        <v>43</v>
      </c>
    </row>
    <row r="18" spans="1:1">
      <c r="A18" s="181" t="s">
        <v>44</v>
      </c>
    </row>
    <row r="20" spans="1:1">
      <c r="A20" s="181" t="s">
        <v>45</v>
      </c>
    </row>
  </sheetData>
  <mergeCells count="2">
    <mergeCell ref="A5:E5"/>
    <mergeCell ref="F5:H5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3"/>
  </sheetPr>
  <dimension ref="A1:K44"/>
  <sheetViews>
    <sheetView zoomScale="75" zoomScaleNormal="75" workbookViewId="0">
      <selection activeCell="A5" sqref="A5:J5"/>
    </sheetView>
  </sheetViews>
  <sheetFormatPr defaultRowHeight="12.75"/>
  <cols>
    <col min="1" max="1" width="4.42578125" style="181" customWidth="1"/>
    <col min="2" max="2" width="42.85546875" style="181" customWidth="1"/>
    <col min="3" max="3" width="11" style="181" customWidth="1"/>
    <col min="4" max="4" width="11.5703125" style="181" customWidth="1"/>
    <col min="5" max="5" width="12.28515625" style="181" customWidth="1"/>
    <col min="6" max="6" width="12.85546875" style="181" customWidth="1"/>
    <col min="7" max="7" width="14.42578125" style="181" customWidth="1"/>
    <col min="8" max="8" width="10.7109375" style="181" customWidth="1"/>
    <col min="9" max="9" width="17.5703125" style="181" customWidth="1"/>
    <col min="10" max="10" width="15.5703125" style="181" customWidth="1"/>
    <col min="11" max="16384" width="9.140625" style="181"/>
  </cols>
  <sheetData>
    <row r="1" spans="1:10" ht="15.75">
      <c r="J1" s="1" t="s">
        <v>232</v>
      </c>
    </row>
    <row r="5" spans="1:10" ht="15.75">
      <c r="A5" s="507" t="s">
        <v>24</v>
      </c>
      <c r="B5" s="507"/>
      <c r="C5" s="507"/>
      <c r="D5" s="507"/>
      <c r="E5" s="507"/>
      <c r="F5" s="507"/>
      <c r="G5" s="507"/>
      <c r="H5" s="507"/>
      <c r="I5" s="507"/>
      <c r="J5" s="507"/>
    </row>
    <row r="6" spans="1:10" ht="13.5" thickBot="1"/>
    <row r="7" spans="1:10" s="3" customFormat="1" ht="12.75" customHeight="1">
      <c r="A7" s="508" t="s">
        <v>179</v>
      </c>
      <c r="B7" s="508" t="s">
        <v>235</v>
      </c>
      <c r="C7" s="511" t="s">
        <v>197</v>
      </c>
      <c r="D7" s="512"/>
      <c r="E7" s="512"/>
      <c r="F7" s="513"/>
      <c r="G7" s="511" t="s">
        <v>198</v>
      </c>
      <c r="H7" s="513"/>
      <c r="I7" s="10" t="s">
        <v>195</v>
      </c>
      <c r="J7" s="10" t="s">
        <v>196</v>
      </c>
    </row>
    <row r="8" spans="1:10" s="3" customFormat="1" ht="15">
      <c r="A8" s="509"/>
      <c r="B8" s="509"/>
      <c r="C8" s="514"/>
      <c r="D8" s="515"/>
      <c r="E8" s="515"/>
      <c r="F8" s="516"/>
      <c r="G8" s="514"/>
      <c r="H8" s="516"/>
      <c r="I8" s="11" t="s">
        <v>199</v>
      </c>
      <c r="J8" s="11" t="s">
        <v>200</v>
      </c>
    </row>
    <row r="9" spans="1:10" s="3" customFormat="1" ht="15">
      <c r="A9" s="509"/>
      <c r="B9" s="509"/>
      <c r="C9" s="517"/>
      <c r="D9" s="518"/>
      <c r="E9" s="518"/>
      <c r="F9" s="519"/>
      <c r="G9" s="517"/>
      <c r="H9" s="519"/>
      <c r="I9" s="13" t="s">
        <v>201</v>
      </c>
      <c r="J9" s="11" t="s">
        <v>202</v>
      </c>
    </row>
    <row r="10" spans="1:10" s="3" customFormat="1" ht="15">
      <c r="A10" s="509"/>
      <c r="B10" s="509"/>
      <c r="C10" s="14"/>
      <c r="D10" s="520" t="s">
        <v>203</v>
      </c>
      <c r="E10" s="520"/>
      <c r="F10" s="520"/>
      <c r="G10" s="14"/>
      <c r="H10" s="14"/>
      <c r="I10" s="14"/>
      <c r="J10" s="11" t="s">
        <v>204</v>
      </c>
    </row>
    <row r="11" spans="1:10" s="3" customFormat="1" ht="15">
      <c r="A11" s="509"/>
      <c r="B11" s="509"/>
      <c r="C11" s="11" t="s">
        <v>205</v>
      </c>
      <c r="D11" s="14"/>
      <c r="E11" s="14"/>
      <c r="F11" s="15" t="s">
        <v>206</v>
      </c>
      <c r="G11" s="11" t="s">
        <v>207</v>
      </c>
      <c r="H11" s="11" t="s">
        <v>208</v>
      </c>
      <c r="I11" s="11" t="s">
        <v>209</v>
      </c>
      <c r="J11" s="11" t="s">
        <v>210</v>
      </c>
    </row>
    <row r="12" spans="1:10" s="3" customFormat="1" ht="15.75" thickBot="1">
      <c r="A12" s="510"/>
      <c r="B12" s="510"/>
      <c r="C12" s="8"/>
      <c r="D12" s="11" t="s">
        <v>211</v>
      </c>
      <c r="E12" s="11" t="s">
        <v>212</v>
      </c>
      <c r="F12" s="11" t="s">
        <v>213</v>
      </c>
      <c r="G12" s="11" t="s">
        <v>214</v>
      </c>
      <c r="H12" s="8"/>
      <c r="I12" s="8"/>
      <c r="J12" s="11" t="s">
        <v>215</v>
      </c>
    </row>
    <row r="13" spans="1:10" s="3" customFormat="1" ht="15.75" thickBo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</row>
    <row r="14" spans="1:10" s="3" customFormat="1" ht="15">
      <c r="A14" s="16">
        <v>1</v>
      </c>
      <c r="B14" s="17" t="s">
        <v>216</v>
      </c>
      <c r="C14" s="16">
        <v>3</v>
      </c>
      <c r="D14" s="16">
        <v>2</v>
      </c>
      <c r="E14" s="18">
        <v>1</v>
      </c>
      <c r="F14" s="19"/>
      <c r="G14" s="20">
        <v>0.25800000000000001</v>
      </c>
      <c r="H14" s="20">
        <v>0.25800000000000001</v>
      </c>
      <c r="I14" s="16">
        <v>0.16700000000000001</v>
      </c>
      <c r="J14" s="16">
        <v>0.06</v>
      </c>
    </row>
    <row r="15" spans="1:10" s="3" customFormat="1" ht="15">
      <c r="A15" s="16">
        <v>2</v>
      </c>
      <c r="B15" s="21" t="s">
        <v>189</v>
      </c>
      <c r="C15" s="22">
        <v>2</v>
      </c>
      <c r="D15" s="22">
        <v>1</v>
      </c>
      <c r="E15" s="22">
        <v>1</v>
      </c>
      <c r="F15" s="22"/>
      <c r="G15" s="23">
        <v>0.13800000000000001</v>
      </c>
      <c r="H15" s="23">
        <v>6.9000000000000006E-2</v>
      </c>
      <c r="I15" s="23">
        <v>6.2E-2</v>
      </c>
      <c r="J15" s="22"/>
    </row>
    <row r="16" spans="1:10" s="3" customFormat="1" ht="15">
      <c r="A16" s="22">
        <v>3</v>
      </c>
      <c r="B16" s="21" t="s">
        <v>217</v>
      </c>
      <c r="C16" s="22">
        <v>2</v>
      </c>
      <c r="D16" s="22">
        <v>2</v>
      </c>
      <c r="E16" s="24"/>
      <c r="F16" s="24"/>
      <c r="G16" s="23">
        <v>0.17199999999999999</v>
      </c>
      <c r="H16" s="23">
        <v>0.17199999999999999</v>
      </c>
      <c r="I16" s="22">
        <v>0.14799999999999999</v>
      </c>
      <c r="J16" s="22">
        <v>4.2000000000000003E-2</v>
      </c>
    </row>
    <row r="17" spans="1:10" s="3" customFormat="1" ht="15">
      <c r="A17" s="22">
        <v>4</v>
      </c>
      <c r="B17" s="21" t="s">
        <v>218</v>
      </c>
      <c r="C17" s="22">
        <v>1</v>
      </c>
      <c r="D17" s="22">
        <v>1</v>
      </c>
      <c r="E17" s="24"/>
      <c r="F17" s="24"/>
      <c r="G17" s="23">
        <v>0.10299999999999999</v>
      </c>
      <c r="H17" s="23">
        <v>0.10299999999999999</v>
      </c>
      <c r="I17" s="23">
        <v>3.5000000000000003E-2</v>
      </c>
      <c r="J17" s="22">
        <v>0.02</v>
      </c>
    </row>
    <row r="18" spans="1:10" s="3" customFormat="1" ht="15">
      <c r="A18" s="22">
        <v>5</v>
      </c>
      <c r="B18" s="21" t="s">
        <v>359</v>
      </c>
      <c r="C18" s="22">
        <v>3</v>
      </c>
      <c r="D18" s="22">
        <v>3</v>
      </c>
      <c r="E18" s="24"/>
      <c r="F18" s="24"/>
      <c r="G18" s="23">
        <v>0.20599999999999999</v>
      </c>
      <c r="H18" s="23">
        <v>0.20599999999999999</v>
      </c>
      <c r="I18" s="22">
        <v>0.186</v>
      </c>
      <c r="J18" s="22">
        <v>7.0000000000000007E-2</v>
      </c>
    </row>
    <row r="19" spans="1:10" s="3" customFormat="1" ht="15">
      <c r="A19" s="22">
        <v>6</v>
      </c>
      <c r="B19" s="21" t="s">
        <v>190</v>
      </c>
      <c r="C19" s="22">
        <v>2</v>
      </c>
      <c r="D19" s="22">
        <v>2</v>
      </c>
      <c r="E19" s="24"/>
      <c r="F19" s="24"/>
      <c r="G19" s="23">
        <v>0.17199999999999999</v>
      </c>
      <c r="H19" s="23">
        <v>0.17199999999999999</v>
      </c>
      <c r="I19" s="22">
        <v>0.08</v>
      </c>
      <c r="J19" s="22">
        <v>2.3E-2</v>
      </c>
    </row>
    <row r="20" spans="1:10" s="3" customFormat="1" ht="15">
      <c r="A20" s="22">
        <v>7</v>
      </c>
      <c r="B20" s="21" t="s">
        <v>360</v>
      </c>
      <c r="C20" s="22">
        <v>2</v>
      </c>
      <c r="D20" s="22">
        <v>1</v>
      </c>
      <c r="E20" s="24" t="s">
        <v>220</v>
      </c>
      <c r="F20" s="24"/>
      <c r="G20" s="23">
        <v>0.4</v>
      </c>
      <c r="H20" s="23">
        <v>0.4</v>
      </c>
      <c r="I20" s="22">
        <f>[2]Навантаження!M19</f>
        <v>0.1113</v>
      </c>
      <c r="J20" s="22">
        <v>0.22550000000000001</v>
      </c>
    </row>
    <row r="21" spans="1:10" s="3" customFormat="1" ht="15">
      <c r="A21" s="22">
        <v>8</v>
      </c>
      <c r="B21" s="21" t="s">
        <v>162</v>
      </c>
      <c r="C21" s="22">
        <v>2</v>
      </c>
      <c r="D21" s="22">
        <v>2</v>
      </c>
      <c r="E21" s="24"/>
      <c r="F21" s="24"/>
      <c r="G21" s="23">
        <v>0.20599999999999999</v>
      </c>
      <c r="H21" s="23">
        <v>0.10299999999999999</v>
      </c>
      <c r="I21" s="25">
        <f>[2]Навантаження!M20</f>
        <v>0.10199999999999999</v>
      </c>
      <c r="J21" s="22"/>
    </row>
    <row r="22" spans="1:10" s="3" customFormat="1" ht="15">
      <c r="A22" s="22">
        <v>9</v>
      </c>
      <c r="B22" s="21" t="s">
        <v>221</v>
      </c>
      <c r="C22" s="22">
        <v>1</v>
      </c>
      <c r="D22" s="22">
        <v>1</v>
      </c>
      <c r="E22" s="24"/>
      <c r="F22" s="24"/>
      <c r="G22" s="23">
        <v>0.01</v>
      </c>
      <c r="H22" s="23">
        <v>0.01</v>
      </c>
      <c r="I22" s="22">
        <v>7.1000000000000004E-3</v>
      </c>
      <c r="J22" s="22"/>
    </row>
    <row r="23" spans="1:10" s="3" customFormat="1" ht="15">
      <c r="A23" s="22">
        <v>10</v>
      </c>
      <c r="B23" s="21" t="s">
        <v>222</v>
      </c>
      <c r="C23" s="22">
        <v>1</v>
      </c>
      <c r="D23" s="22">
        <v>1</v>
      </c>
      <c r="E23" s="24"/>
      <c r="F23" s="24"/>
      <c r="G23" s="23">
        <v>2.5999999999999999E-2</v>
      </c>
      <c r="H23" s="23">
        <v>2.5999999999999999E-2</v>
      </c>
      <c r="I23" s="22">
        <v>2.5700000000000001E-2</v>
      </c>
      <c r="J23" s="22"/>
    </row>
    <row r="24" spans="1:10" s="3" customFormat="1" ht="15">
      <c r="A24" s="22">
        <v>11</v>
      </c>
      <c r="B24" s="21" t="s">
        <v>223</v>
      </c>
      <c r="C24" s="22">
        <v>3</v>
      </c>
      <c r="D24" s="22">
        <v>3</v>
      </c>
      <c r="E24" s="24"/>
      <c r="F24" s="24"/>
      <c r="G24" s="23">
        <v>0.31</v>
      </c>
      <c r="H24" s="23">
        <v>0.31</v>
      </c>
      <c r="I24" s="22">
        <v>0.27100000000000002</v>
      </c>
      <c r="J24" s="22"/>
    </row>
    <row r="25" spans="1:10" s="3" customFormat="1" ht="15">
      <c r="A25" s="22">
        <v>12</v>
      </c>
      <c r="B25" s="21" t="s">
        <v>224</v>
      </c>
      <c r="C25" s="22">
        <v>1</v>
      </c>
      <c r="D25" s="22">
        <v>1</v>
      </c>
      <c r="E25" s="24"/>
      <c r="F25" s="24"/>
      <c r="G25" s="23">
        <v>1.72</v>
      </c>
      <c r="H25" s="23">
        <v>1.72</v>
      </c>
      <c r="I25" s="22">
        <f>[2]Навантаження!M43</f>
        <v>1.3463000000000001</v>
      </c>
      <c r="J25" s="22">
        <v>1.464</v>
      </c>
    </row>
    <row r="26" spans="1:10" s="3" customFormat="1" ht="15">
      <c r="A26" s="22">
        <v>13</v>
      </c>
      <c r="B26" s="21" t="s">
        <v>225</v>
      </c>
      <c r="C26" s="22">
        <v>1</v>
      </c>
      <c r="D26" s="22">
        <v>1</v>
      </c>
      <c r="E26" s="24"/>
      <c r="F26" s="24"/>
      <c r="G26" s="23">
        <v>4.5999999999999996</v>
      </c>
      <c r="H26" s="23">
        <v>4.5999999999999996</v>
      </c>
      <c r="I26" s="22">
        <f>[2]Навантаження!M51</f>
        <v>1.2431000000000001</v>
      </c>
      <c r="J26" s="22">
        <v>1.3979999999999999</v>
      </c>
    </row>
    <row r="27" spans="1:10" s="3" customFormat="1" ht="15">
      <c r="A27" s="22">
        <v>14</v>
      </c>
      <c r="B27" s="21" t="s">
        <v>361</v>
      </c>
      <c r="C27" s="22">
        <v>3</v>
      </c>
      <c r="D27" s="22">
        <v>3</v>
      </c>
      <c r="E27" s="24"/>
      <c r="F27" s="24"/>
      <c r="G27" s="23">
        <v>0.25800000000000001</v>
      </c>
      <c r="H27" s="23">
        <v>0.25800000000000001</v>
      </c>
      <c r="I27" s="22">
        <v>0.22500000000000001</v>
      </c>
      <c r="J27" s="22"/>
    </row>
    <row r="28" spans="1:10" s="3" customFormat="1" ht="15">
      <c r="A28" s="22">
        <v>15</v>
      </c>
      <c r="B28" s="21" t="s">
        <v>362</v>
      </c>
      <c r="C28" s="22">
        <v>5</v>
      </c>
      <c r="D28" s="22">
        <v>4</v>
      </c>
      <c r="E28" s="24" t="s">
        <v>220</v>
      </c>
      <c r="F28" s="24"/>
      <c r="G28" s="23">
        <v>0.43</v>
      </c>
      <c r="H28" s="23">
        <v>0.34399999999999997</v>
      </c>
      <c r="I28" s="23">
        <v>0.32</v>
      </c>
      <c r="J28" s="22">
        <v>7.4999999999999997E-3</v>
      </c>
    </row>
    <row r="29" spans="1:10" s="3" customFormat="1" ht="15">
      <c r="A29" s="22">
        <v>16</v>
      </c>
      <c r="B29" s="21" t="s">
        <v>226</v>
      </c>
      <c r="C29" s="22">
        <v>2</v>
      </c>
      <c r="D29" s="22">
        <v>2</v>
      </c>
      <c r="E29" s="24"/>
      <c r="F29" s="24"/>
      <c r="G29" s="23">
        <v>0.16</v>
      </c>
      <c r="H29" s="23">
        <v>0.16</v>
      </c>
      <c r="I29" s="22">
        <v>0.215</v>
      </c>
      <c r="J29" s="22"/>
    </row>
    <row r="30" spans="1:10" s="3" customFormat="1" ht="15">
      <c r="A30" s="22">
        <v>17</v>
      </c>
      <c r="B30" s="21" t="s">
        <v>227</v>
      </c>
      <c r="C30" s="22">
        <v>2</v>
      </c>
      <c r="D30" s="22">
        <v>2</v>
      </c>
      <c r="E30" s="24"/>
      <c r="F30" s="24"/>
      <c r="G30" s="23">
        <v>0.20599999999999999</v>
      </c>
      <c r="H30" s="23">
        <v>0.20599999999999999</v>
      </c>
      <c r="I30" s="22">
        <v>0.20499999999999999</v>
      </c>
      <c r="J30" s="22"/>
    </row>
    <row r="31" spans="1:10" s="3" customFormat="1" ht="15">
      <c r="A31" s="22">
        <v>18</v>
      </c>
      <c r="B31" s="21" t="s">
        <v>363</v>
      </c>
      <c r="C31" s="22">
        <v>2</v>
      </c>
      <c r="D31" s="22">
        <v>2</v>
      </c>
      <c r="E31" s="24"/>
      <c r="F31" s="24"/>
      <c r="G31" s="23">
        <v>7.6999999999999999E-2</v>
      </c>
      <c r="H31" s="23">
        <v>7.6999999999999999E-2</v>
      </c>
      <c r="I31" s="22">
        <v>6.4000000000000001E-2</v>
      </c>
      <c r="J31" s="22"/>
    </row>
    <row r="32" spans="1:10" s="3" customFormat="1" ht="15">
      <c r="A32" s="22">
        <v>19</v>
      </c>
      <c r="B32" s="21" t="s">
        <v>228</v>
      </c>
      <c r="C32" s="22">
        <v>6</v>
      </c>
      <c r="D32" s="22">
        <v>6</v>
      </c>
      <c r="E32" s="24"/>
      <c r="F32" s="24"/>
      <c r="G32" s="23">
        <v>0.51600000000000001</v>
      </c>
      <c r="H32" s="102">
        <v>0.51600000000000001</v>
      </c>
      <c r="I32" s="103">
        <f>[2]Навантаження!M59</f>
        <v>0.51880000000000004</v>
      </c>
      <c r="J32" s="22"/>
    </row>
    <row r="33" spans="1:11" s="3" customFormat="1" ht="15">
      <c r="A33" s="25">
        <v>20</v>
      </c>
      <c r="B33" s="21" t="s">
        <v>229</v>
      </c>
      <c r="C33" s="22">
        <v>3</v>
      </c>
      <c r="D33" s="22">
        <v>3</v>
      </c>
      <c r="E33" s="24"/>
      <c r="F33" s="24"/>
      <c r="G33" s="23">
        <v>0.25800000000000001</v>
      </c>
      <c r="H33" s="23">
        <v>0.25800000000000001</v>
      </c>
      <c r="I33" s="22">
        <v>0.2072</v>
      </c>
      <c r="J33" s="22">
        <v>2.1000000000000001E-2</v>
      </c>
    </row>
    <row r="34" spans="1:11" s="3" customFormat="1" ht="15.75" thickBot="1">
      <c r="A34" s="26">
        <v>21</v>
      </c>
      <c r="B34" s="27" t="s">
        <v>230</v>
      </c>
      <c r="C34" s="28">
        <v>1</v>
      </c>
      <c r="D34" s="28">
        <v>1</v>
      </c>
      <c r="E34" s="29"/>
      <c r="F34" s="29"/>
      <c r="G34" s="30">
        <v>4.7E-2</v>
      </c>
      <c r="H34" s="30">
        <v>4.7E-2</v>
      </c>
      <c r="I34" s="31">
        <v>4.53E-2</v>
      </c>
      <c r="J34" s="28">
        <v>3.85E-2</v>
      </c>
    </row>
    <row r="35" spans="1:11" s="3" customFormat="1" ht="16.5" thickBot="1">
      <c r="A35" s="4"/>
      <c r="B35" s="4" t="s">
        <v>161</v>
      </c>
      <c r="C35" s="5">
        <f>SUM(C14:C34)</f>
        <v>48</v>
      </c>
      <c r="D35" s="5">
        <f>SUM(D14:D34)</f>
        <v>44</v>
      </c>
      <c r="E35" s="32" t="s">
        <v>356</v>
      </c>
      <c r="F35" s="5"/>
      <c r="G35" s="7">
        <f>SUM(G14:G34)</f>
        <v>10.273</v>
      </c>
      <c r="H35" s="7">
        <f>SUM(H14:H34)</f>
        <v>10.015000000000001</v>
      </c>
      <c r="I35" s="211">
        <f>SUM(I14:I34)</f>
        <v>5.5848000000000004</v>
      </c>
      <c r="J35" s="5">
        <f>SUM(J14:J34)</f>
        <v>3.3694999999999999</v>
      </c>
    </row>
    <row r="36" spans="1:11" s="3" customFormat="1" ht="15">
      <c r="C36" s="12"/>
      <c r="D36" s="12"/>
      <c r="E36" s="12"/>
      <c r="F36" s="12"/>
      <c r="I36" s="12"/>
    </row>
    <row r="37" spans="1:11" s="3" customFormat="1" ht="15">
      <c r="C37" s="12"/>
      <c r="D37" s="12"/>
      <c r="E37" s="12"/>
      <c r="F37" s="12"/>
      <c r="I37" s="12"/>
    </row>
    <row r="38" spans="1:11" s="3" customFormat="1" ht="15">
      <c r="A38" s="109" t="s">
        <v>103</v>
      </c>
      <c r="C38" s="12"/>
      <c r="D38" s="12"/>
      <c r="E38" s="12"/>
      <c r="F38" s="12"/>
      <c r="I38" s="12"/>
    </row>
    <row r="39" spans="1:11" s="3" customFormat="1" ht="15">
      <c r="C39" s="12"/>
      <c r="D39" s="12"/>
      <c r="E39" s="12"/>
      <c r="F39" s="12"/>
    </row>
    <row r="40" spans="1:11" ht="15">
      <c r="A40" s="63" t="s">
        <v>389</v>
      </c>
      <c r="B40" s="67"/>
      <c r="C40" s="67"/>
      <c r="D40" s="67"/>
      <c r="E40" s="67"/>
      <c r="F40" s="12"/>
      <c r="G40" s="3"/>
      <c r="H40" s="3"/>
      <c r="I40" s="3"/>
      <c r="J40" s="3"/>
    </row>
    <row r="41" spans="1:11" ht="15">
      <c r="A41" s="63"/>
      <c r="B41" s="12"/>
      <c r="C41" s="12"/>
      <c r="D41" s="3"/>
      <c r="E41" s="3"/>
      <c r="H41" s="185"/>
      <c r="K41" s="3"/>
    </row>
    <row r="42" spans="1:11" ht="15">
      <c r="A42" s="505" t="s">
        <v>390</v>
      </c>
      <c r="B42" s="506"/>
      <c r="C42" s="506"/>
      <c r="D42" s="506"/>
      <c r="E42" s="506"/>
      <c r="G42" s="185"/>
      <c r="I42" s="12"/>
      <c r="J42" s="3"/>
      <c r="K42" s="3"/>
    </row>
    <row r="43" spans="1:11" ht="15">
      <c r="I43" s="3"/>
      <c r="J43" s="3"/>
    </row>
    <row r="44" spans="1:11" ht="15">
      <c r="I44" s="12"/>
    </row>
  </sheetData>
  <mergeCells count="7">
    <mergeCell ref="A42:E42"/>
    <mergeCell ref="A5:J5"/>
    <mergeCell ref="A7:A12"/>
    <mergeCell ref="B7:B12"/>
    <mergeCell ref="C7:F9"/>
    <mergeCell ref="G7:H9"/>
    <mergeCell ref="D10:F10"/>
  </mergeCells>
  <phoneticPr fontId="2" type="noConversion"/>
  <pageMargins left="0.75" right="0.75" top="1" bottom="1" header="0.5" footer="0.5"/>
  <pageSetup paperSize="9" scale="74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0"/>
  </sheetPr>
  <dimension ref="A1:AP76"/>
  <sheetViews>
    <sheetView topLeftCell="A10" zoomScale="75" zoomScaleNormal="75" workbookViewId="0">
      <selection activeCell="G72" sqref="G72"/>
    </sheetView>
  </sheetViews>
  <sheetFormatPr defaultRowHeight="15"/>
  <cols>
    <col min="1" max="1" width="11.28515625" style="3" customWidth="1"/>
    <col min="2" max="2" width="33" style="181" customWidth="1"/>
    <col min="3" max="3" width="36.85546875" style="181" customWidth="1"/>
    <col min="4" max="4" width="14.5703125" style="58" customWidth="1"/>
    <col min="5" max="5" width="10.5703125" style="179" customWidth="1"/>
    <col min="6" max="6" width="12" style="179" customWidth="1"/>
    <col min="7" max="7" width="12.7109375" style="58" customWidth="1"/>
    <col min="8" max="8" width="10.140625" style="179" customWidth="1"/>
    <col min="9" max="9" width="11" style="179" customWidth="1"/>
    <col min="10" max="10" width="13.85546875" style="58" customWidth="1"/>
    <col min="11" max="12" width="10.5703125" style="179" customWidth="1"/>
    <col min="13" max="13" width="18.42578125" style="58" customWidth="1"/>
    <col min="14" max="14" width="11.140625" style="179" customWidth="1"/>
    <col min="15" max="15" width="11.42578125" style="179" customWidth="1"/>
    <col min="16" max="16384" width="9.140625" style="181"/>
  </cols>
  <sheetData>
    <row r="1" spans="1:20" ht="15.75">
      <c r="N1" s="507" t="s">
        <v>176</v>
      </c>
      <c r="O1" s="507"/>
    </row>
    <row r="4" spans="1:20" ht="18">
      <c r="B4" s="528" t="s">
        <v>175</v>
      </c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</row>
    <row r="5" spans="1:20" ht="18">
      <c r="B5" s="528" t="s">
        <v>91</v>
      </c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</row>
    <row r="6" spans="1:20" ht="15.75" thickBot="1"/>
    <row r="7" spans="1:20" ht="34.5" customHeight="1" thickBot="1">
      <c r="A7" s="521" t="s">
        <v>234</v>
      </c>
      <c r="B7" s="521" t="s">
        <v>233</v>
      </c>
      <c r="C7" s="521" t="s">
        <v>105</v>
      </c>
      <c r="D7" s="523" t="s">
        <v>106</v>
      </c>
      <c r="E7" s="523"/>
      <c r="F7" s="523"/>
      <c r="G7" s="523" t="s">
        <v>106</v>
      </c>
      <c r="H7" s="523"/>
      <c r="I7" s="523"/>
      <c r="J7" s="523" t="s">
        <v>106</v>
      </c>
      <c r="K7" s="523"/>
      <c r="L7" s="523"/>
      <c r="M7" s="521" t="s">
        <v>107</v>
      </c>
      <c r="N7" s="524" t="s">
        <v>119</v>
      </c>
      <c r="O7" s="524" t="s">
        <v>118</v>
      </c>
    </row>
    <row r="8" spans="1:20" ht="64.5" customHeight="1" thickBot="1">
      <c r="A8" s="522"/>
      <c r="B8" s="522"/>
      <c r="C8" s="522"/>
      <c r="D8" s="216" t="s">
        <v>117</v>
      </c>
      <c r="E8" s="215" t="s">
        <v>119</v>
      </c>
      <c r="F8" s="215" t="s">
        <v>118</v>
      </c>
      <c r="G8" s="216" t="s">
        <v>177</v>
      </c>
      <c r="H8" s="215" t="s">
        <v>119</v>
      </c>
      <c r="I8" s="215" t="s">
        <v>118</v>
      </c>
      <c r="J8" s="216" t="s">
        <v>178</v>
      </c>
      <c r="K8" s="215" t="s">
        <v>119</v>
      </c>
      <c r="L8" s="215" t="s">
        <v>118</v>
      </c>
      <c r="M8" s="522"/>
      <c r="N8" s="525"/>
      <c r="O8" s="525"/>
    </row>
    <row r="9" spans="1:20" ht="15.75">
      <c r="A9" s="226">
        <v>1</v>
      </c>
      <c r="B9" s="226" t="s">
        <v>364</v>
      </c>
      <c r="C9" s="227" t="s">
        <v>108</v>
      </c>
      <c r="D9" s="228"/>
      <c r="E9" s="229"/>
      <c r="F9" s="230"/>
      <c r="G9" s="231">
        <v>0.16700000000000001</v>
      </c>
      <c r="H9" s="230">
        <f>G9</f>
        <v>0.16700000000000001</v>
      </c>
      <c r="I9" s="230"/>
      <c r="J9" s="228"/>
      <c r="K9" s="230"/>
      <c r="L9" s="230"/>
      <c r="M9" s="228">
        <f>D9+G9+J9</f>
        <v>0.16700000000000001</v>
      </c>
      <c r="N9" s="230">
        <f>E9+H9+K9</f>
        <v>0.16700000000000001</v>
      </c>
      <c r="O9" s="230">
        <f>F9+I9+L9</f>
        <v>0</v>
      </c>
    </row>
    <row r="10" spans="1:20" ht="15.75">
      <c r="A10" s="227">
        <v>2</v>
      </c>
      <c r="B10" s="227" t="s">
        <v>365</v>
      </c>
      <c r="C10" s="227" t="s">
        <v>109</v>
      </c>
      <c r="D10" s="232"/>
      <c r="E10" s="233"/>
      <c r="F10" s="234"/>
      <c r="G10" s="235">
        <v>2.76E-2</v>
      </c>
      <c r="H10" s="234">
        <v>2.76E-2</v>
      </c>
      <c r="I10" s="178"/>
      <c r="J10" s="232"/>
      <c r="K10" s="234"/>
      <c r="L10" s="234"/>
      <c r="M10" s="526">
        <f>H10+H11</f>
        <v>6.2E-2</v>
      </c>
      <c r="N10" s="527">
        <f>M10</f>
        <v>6.2E-2</v>
      </c>
      <c r="O10" s="224"/>
    </row>
    <row r="11" spans="1:20" ht="15.75">
      <c r="A11" s="227"/>
      <c r="B11" s="227"/>
      <c r="C11" s="227" t="s">
        <v>110</v>
      </c>
      <c r="D11" s="232"/>
      <c r="E11" s="233"/>
      <c r="F11" s="234"/>
      <c r="G11" s="235">
        <v>3.44E-2</v>
      </c>
      <c r="H11" s="234">
        <v>3.44E-2</v>
      </c>
      <c r="I11" s="178"/>
      <c r="J11" s="232"/>
      <c r="K11" s="234"/>
      <c r="L11" s="234"/>
      <c r="M11" s="526"/>
      <c r="N11" s="527"/>
      <c r="O11" s="224"/>
    </row>
    <row r="12" spans="1:20" ht="15.75">
      <c r="A12" s="227">
        <v>3</v>
      </c>
      <c r="B12" s="227" t="s">
        <v>180</v>
      </c>
      <c r="C12" s="227" t="s">
        <v>111</v>
      </c>
      <c r="D12" s="232"/>
      <c r="E12" s="233"/>
      <c r="F12" s="234"/>
      <c r="G12" s="235">
        <v>0.14799999999999999</v>
      </c>
      <c r="H12" s="234">
        <f>G12</f>
        <v>0.14799999999999999</v>
      </c>
      <c r="I12" s="234"/>
      <c r="J12" s="232"/>
      <c r="K12" s="234"/>
      <c r="L12" s="234"/>
      <c r="M12" s="232">
        <f t="shared" ref="M12:O18" si="0">D12+G12+J12</f>
        <v>0.14799999999999999</v>
      </c>
      <c r="N12" s="234">
        <f t="shared" si="0"/>
        <v>0.14799999999999999</v>
      </c>
      <c r="O12" s="234">
        <f t="shared" si="0"/>
        <v>0</v>
      </c>
    </row>
    <row r="13" spans="1:20" ht="15.75">
      <c r="A13" s="236">
        <v>4</v>
      </c>
      <c r="B13" s="236" t="s">
        <v>181</v>
      </c>
      <c r="C13" s="236" t="s">
        <v>112</v>
      </c>
      <c r="D13" s="237"/>
      <c r="E13" s="238"/>
      <c r="F13" s="238"/>
      <c r="G13" s="239"/>
      <c r="H13" s="240"/>
      <c r="I13" s="240"/>
      <c r="J13" s="237">
        <v>3.5000000000000003E-2</v>
      </c>
      <c r="K13" s="240"/>
      <c r="L13" s="240">
        <f>J13</f>
        <v>3.5000000000000003E-2</v>
      </c>
      <c r="M13" s="237">
        <f t="shared" si="0"/>
        <v>3.5000000000000003E-2</v>
      </c>
      <c r="N13" s="240">
        <f t="shared" si="0"/>
        <v>0</v>
      </c>
      <c r="O13" s="240">
        <f t="shared" si="0"/>
        <v>3.5000000000000003E-2</v>
      </c>
      <c r="Q13" s="241" t="s">
        <v>302</v>
      </c>
      <c r="R13" s="241"/>
      <c r="S13" s="241"/>
      <c r="T13" s="241"/>
    </row>
    <row r="14" spans="1:20" ht="15.75">
      <c r="A14" s="227">
        <v>5</v>
      </c>
      <c r="B14" s="227" t="s">
        <v>366</v>
      </c>
      <c r="C14" s="227" t="s">
        <v>113</v>
      </c>
      <c r="D14" s="232"/>
      <c r="E14" s="233"/>
      <c r="F14" s="234"/>
      <c r="G14" s="235">
        <v>0.186</v>
      </c>
      <c r="H14" s="234">
        <f>G14</f>
        <v>0.186</v>
      </c>
      <c r="I14" s="234"/>
      <c r="J14" s="232"/>
      <c r="K14" s="234"/>
      <c r="L14" s="234"/>
      <c r="M14" s="232">
        <f t="shared" si="0"/>
        <v>0.186</v>
      </c>
      <c r="N14" s="234">
        <f t="shared" si="0"/>
        <v>0.186</v>
      </c>
      <c r="O14" s="234">
        <f t="shared" si="0"/>
        <v>0</v>
      </c>
    </row>
    <row r="15" spans="1:20" ht="15.75">
      <c r="A15" s="227">
        <v>6</v>
      </c>
      <c r="B15" s="227" t="s">
        <v>367</v>
      </c>
      <c r="C15" s="227" t="s">
        <v>114</v>
      </c>
      <c r="D15" s="232"/>
      <c r="E15" s="233"/>
      <c r="F15" s="234"/>
      <c r="G15" s="235">
        <v>0.08</v>
      </c>
      <c r="H15" s="234">
        <f>G15</f>
        <v>0.08</v>
      </c>
      <c r="I15" s="234"/>
      <c r="J15" s="232"/>
      <c r="K15" s="234"/>
      <c r="L15" s="234"/>
      <c r="M15" s="232">
        <f t="shared" si="0"/>
        <v>0.08</v>
      </c>
      <c r="N15" s="234">
        <f t="shared" si="0"/>
        <v>0.08</v>
      </c>
      <c r="O15" s="234">
        <f t="shared" si="0"/>
        <v>0</v>
      </c>
    </row>
    <row r="16" spans="1:20" ht="15.75">
      <c r="A16" s="226">
        <v>9</v>
      </c>
      <c r="B16" s="242" t="s">
        <v>368</v>
      </c>
      <c r="C16" s="243"/>
      <c r="D16" s="239"/>
      <c r="E16" s="244"/>
      <c r="F16" s="245"/>
      <c r="G16" s="239"/>
      <c r="H16" s="245"/>
      <c r="I16" s="245"/>
      <c r="J16" s="239"/>
      <c r="K16" s="240"/>
      <c r="L16" s="240"/>
      <c r="M16" s="240"/>
      <c r="N16" s="240"/>
      <c r="O16" s="240"/>
    </row>
    <row r="17" spans="1:15" ht="15.75" customHeight="1">
      <c r="A17" s="226"/>
      <c r="B17" s="242"/>
      <c r="C17" s="243" t="s">
        <v>115</v>
      </c>
      <c r="D17" s="239"/>
      <c r="E17" s="244"/>
      <c r="F17" s="245"/>
      <c r="G17" s="239">
        <v>6.0999999999999999E-2</v>
      </c>
      <c r="H17" s="245">
        <v>6.0999999999999999E-2</v>
      </c>
      <c r="I17" s="245"/>
      <c r="J17" s="239"/>
      <c r="K17" s="240"/>
      <c r="L17" s="240"/>
      <c r="M17" s="240">
        <f t="shared" si="0"/>
        <v>6.0999999999999999E-2</v>
      </c>
      <c r="N17" s="240">
        <f t="shared" si="0"/>
        <v>6.0999999999999999E-2</v>
      </c>
      <c r="O17" s="240">
        <f t="shared" si="0"/>
        <v>0</v>
      </c>
    </row>
    <row r="18" spans="1:15" ht="18.75" customHeight="1" thickBot="1">
      <c r="A18" s="226"/>
      <c r="B18" s="242"/>
      <c r="C18" s="243" t="s">
        <v>116</v>
      </c>
      <c r="D18" s="239"/>
      <c r="E18" s="244"/>
      <c r="F18" s="245"/>
      <c r="G18" s="239">
        <v>5.0299999999999997E-2</v>
      </c>
      <c r="H18" s="245">
        <f>G18</f>
        <v>5.0299999999999997E-2</v>
      </c>
      <c r="I18" s="245"/>
      <c r="J18" s="239"/>
      <c r="K18" s="240"/>
      <c r="L18" s="240"/>
      <c r="M18" s="240">
        <f t="shared" si="0"/>
        <v>5.0299999999999997E-2</v>
      </c>
      <c r="N18" s="240">
        <f t="shared" si="0"/>
        <v>5.0299999999999997E-2</v>
      </c>
      <c r="O18" s="240">
        <f t="shared" si="0"/>
        <v>0</v>
      </c>
    </row>
    <row r="19" spans="1:15" ht="18" customHeight="1" thickBot="1">
      <c r="A19" s="246"/>
      <c r="B19" s="247" t="s">
        <v>16</v>
      </c>
      <c r="C19" s="248"/>
      <c r="D19" s="9">
        <f>SUM(D16:D18)</f>
        <v>0</v>
      </c>
      <c r="E19" s="9"/>
      <c r="F19" s="9">
        <f>SUM(F16:F18)</f>
        <v>0</v>
      </c>
      <c r="G19" s="9">
        <f>SUM(G17:G18)</f>
        <v>0.1113</v>
      </c>
      <c r="H19" s="9">
        <f>SUM(H17:H18)</f>
        <v>0.1113</v>
      </c>
      <c r="I19" s="9">
        <f>SUM(I16:I18)</f>
        <v>0</v>
      </c>
      <c r="J19" s="9"/>
      <c r="K19" s="7"/>
      <c r="L19" s="7"/>
      <c r="M19" s="9">
        <f>SUM(M16:M18)</f>
        <v>0.1113</v>
      </c>
      <c r="N19" s="9">
        <f>SUM(N16:N18)</f>
        <v>0.1113</v>
      </c>
      <c r="O19" s="9">
        <f>SUM(O16:O18)</f>
        <v>0</v>
      </c>
    </row>
    <row r="20" spans="1:15" ht="15.75">
      <c r="A20" s="236">
        <v>10</v>
      </c>
      <c r="B20" s="236" t="s">
        <v>164</v>
      </c>
      <c r="C20" s="236" t="s">
        <v>143</v>
      </c>
      <c r="D20" s="237"/>
      <c r="E20" s="240"/>
      <c r="F20" s="240"/>
      <c r="G20" s="237">
        <v>0.10199999999999999</v>
      </c>
      <c r="H20" s="240">
        <f>G20</f>
        <v>0.10199999999999999</v>
      </c>
      <c r="I20" s="240"/>
      <c r="J20" s="237"/>
      <c r="K20" s="240"/>
      <c r="L20" s="240"/>
      <c r="M20" s="237">
        <f>G20</f>
        <v>0.10199999999999999</v>
      </c>
      <c r="N20" s="240">
        <f>M20</f>
        <v>0.10199999999999999</v>
      </c>
      <c r="O20" s="249"/>
    </row>
    <row r="21" spans="1:15" ht="15.75" customHeight="1">
      <c r="A21" s="226">
        <v>11</v>
      </c>
      <c r="B21" s="226" t="s">
        <v>182</v>
      </c>
      <c r="C21" s="226" t="s">
        <v>120</v>
      </c>
      <c r="D21" s="228"/>
      <c r="E21" s="230"/>
      <c r="F21" s="230"/>
      <c r="G21" s="231">
        <v>7.1000000000000004E-3</v>
      </c>
      <c r="H21" s="230"/>
      <c r="I21" s="230">
        <f>G21</f>
        <v>7.1000000000000004E-3</v>
      </c>
      <c r="J21" s="228"/>
      <c r="K21" s="230"/>
      <c r="L21" s="230"/>
      <c r="M21" s="228">
        <f t="shared" ref="M21:O23" si="1">D21+G21+J21</f>
        <v>7.1000000000000004E-3</v>
      </c>
      <c r="N21" s="230">
        <f t="shared" si="1"/>
        <v>0</v>
      </c>
      <c r="O21" s="230">
        <f t="shared" si="1"/>
        <v>7.1000000000000004E-3</v>
      </c>
    </row>
    <row r="22" spans="1:15" ht="15" customHeight="1">
      <c r="A22" s="227">
        <v>13</v>
      </c>
      <c r="B22" s="227" t="s">
        <v>183</v>
      </c>
      <c r="C22" s="227" t="s">
        <v>121</v>
      </c>
      <c r="D22" s="232"/>
      <c r="E22" s="234"/>
      <c r="F22" s="234"/>
      <c r="G22" s="235">
        <v>2.5700000000000001E-2</v>
      </c>
      <c r="H22" s="234"/>
      <c r="I22" s="234">
        <f>G22</f>
        <v>2.5700000000000001E-2</v>
      </c>
      <c r="J22" s="232"/>
      <c r="K22" s="234"/>
      <c r="L22" s="234"/>
      <c r="M22" s="232">
        <f t="shared" si="1"/>
        <v>2.5700000000000001E-2</v>
      </c>
      <c r="N22" s="234">
        <f t="shared" si="1"/>
        <v>0</v>
      </c>
      <c r="O22" s="234">
        <f t="shared" si="1"/>
        <v>2.5700000000000001E-2</v>
      </c>
    </row>
    <row r="23" spans="1:15" ht="15" customHeight="1">
      <c r="A23" s="227">
        <v>15</v>
      </c>
      <c r="B23" s="227" t="s">
        <v>184</v>
      </c>
      <c r="C23" s="227" t="s">
        <v>122</v>
      </c>
      <c r="D23" s="232"/>
      <c r="E23" s="234"/>
      <c r="F23" s="234"/>
      <c r="G23" s="235">
        <v>0.27100000000000002</v>
      </c>
      <c r="H23" s="234">
        <f>G23</f>
        <v>0.27100000000000002</v>
      </c>
      <c r="I23" s="234"/>
      <c r="J23" s="232"/>
      <c r="K23" s="234"/>
      <c r="L23" s="250"/>
      <c r="M23" s="232">
        <f t="shared" si="1"/>
        <v>0.27100000000000002</v>
      </c>
      <c r="N23" s="234">
        <f t="shared" si="1"/>
        <v>0.27100000000000002</v>
      </c>
      <c r="O23" s="234">
        <f t="shared" si="1"/>
        <v>0</v>
      </c>
    </row>
    <row r="24" spans="1:15" ht="18">
      <c r="A24" s="236">
        <v>18</v>
      </c>
      <c r="B24" s="236" t="s">
        <v>185</v>
      </c>
      <c r="C24" s="243" t="s">
        <v>369</v>
      </c>
      <c r="D24" s="251">
        <v>3.2000000000000001E-2</v>
      </c>
      <c r="E24" s="240"/>
      <c r="F24" s="252">
        <f t="shared" ref="F24:F29" si="2">D24</f>
        <v>3.2000000000000001E-2</v>
      </c>
      <c r="G24" s="237"/>
      <c r="H24" s="240"/>
      <c r="I24" s="240"/>
      <c r="J24" s="237"/>
      <c r="K24" s="240"/>
      <c r="L24" s="253"/>
      <c r="M24" s="239">
        <f t="shared" ref="M24:M29" si="3">D24</f>
        <v>3.2000000000000001E-2</v>
      </c>
      <c r="N24" s="178"/>
      <c r="O24" s="252">
        <f t="shared" ref="O24:O29" si="4">M24</f>
        <v>3.2000000000000001E-2</v>
      </c>
    </row>
    <row r="25" spans="1:15" ht="15" customHeight="1">
      <c r="A25" s="236"/>
      <c r="B25" s="254"/>
      <c r="C25" s="243" t="s">
        <v>370</v>
      </c>
      <c r="D25" s="251">
        <v>8.9999999999999993E-3</v>
      </c>
      <c r="E25" s="253"/>
      <c r="F25" s="252">
        <f t="shared" si="2"/>
        <v>8.9999999999999993E-3</v>
      </c>
      <c r="G25" s="255"/>
      <c r="H25" s="253"/>
      <c r="I25" s="253"/>
      <c r="J25" s="255"/>
      <c r="K25" s="253"/>
      <c r="L25" s="253"/>
      <c r="M25" s="239">
        <f t="shared" si="3"/>
        <v>8.9999999999999993E-3</v>
      </c>
      <c r="N25" s="178"/>
      <c r="O25" s="252">
        <f t="shared" si="4"/>
        <v>8.9999999999999993E-3</v>
      </c>
    </row>
    <row r="26" spans="1:15" ht="15" customHeight="1">
      <c r="A26" s="236"/>
      <c r="B26" s="254"/>
      <c r="C26" s="243" t="s">
        <v>371</v>
      </c>
      <c r="D26" s="251">
        <v>2.5000000000000001E-2</v>
      </c>
      <c r="E26" s="253"/>
      <c r="F26" s="252">
        <f t="shared" si="2"/>
        <v>2.5000000000000001E-2</v>
      </c>
      <c r="G26" s="255"/>
      <c r="H26" s="253"/>
      <c r="I26" s="253"/>
      <c r="J26" s="255"/>
      <c r="K26" s="253"/>
      <c r="L26" s="253"/>
      <c r="M26" s="239">
        <f t="shared" si="3"/>
        <v>2.5000000000000001E-2</v>
      </c>
      <c r="N26" s="178"/>
      <c r="O26" s="252">
        <f t="shared" si="4"/>
        <v>2.5000000000000001E-2</v>
      </c>
    </row>
    <row r="27" spans="1:15" ht="15" customHeight="1">
      <c r="A27" s="236"/>
      <c r="B27" s="256"/>
      <c r="C27" s="243" t="s">
        <v>123</v>
      </c>
      <c r="D27" s="251">
        <v>1.4999999999999999E-2</v>
      </c>
      <c r="E27" s="238"/>
      <c r="F27" s="252">
        <f t="shared" si="2"/>
        <v>1.4999999999999999E-2</v>
      </c>
      <c r="G27" s="257"/>
      <c r="H27" s="238"/>
      <c r="I27" s="238"/>
      <c r="J27" s="257"/>
      <c r="K27" s="238"/>
      <c r="L27" s="238"/>
      <c r="M27" s="239">
        <f t="shared" si="3"/>
        <v>1.4999999999999999E-2</v>
      </c>
      <c r="N27" s="178"/>
      <c r="O27" s="252">
        <f t="shared" si="4"/>
        <v>1.4999999999999999E-2</v>
      </c>
    </row>
    <row r="28" spans="1:15" ht="15.75">
      <c r="A28" s="236"/>
      <c r="B28" s="256"/>
      <c r="C28" s="243" t="s">
        <v>124</v>
      </c>
      <c r="D28" s="251">
        <v>1.9E-2</v>
      </c>
      <c r="E28" s="238"/>
      <c r="F28" s="252">
        <f t="shared" si="2"/>
        <v>1.9E-2</v>
      </c>
      <c r="G28" s="257"/>
      <c r="H28" s="238"/>
      <c r="I28" s="238"/>
      <c r="J28" s="257"/>
      <c r="K28" s="238"/>
      <c r="L28" s="238"/>
      <c r="M28" s="239">
        <f t="shared" si="3"/>
        <v>1.9E-2</v>
      </c>
      <c r="N28" s="178"/>
      <c r="O28" s="252">
        <f t="shared" si="4"/>
        <v>1.9E-2</v>
      </c>
    </row>
    <row r="29" spans="1:15" ht="15.75">
      <c r="A29" s="236"/>
      <c r="B29" s="256"/>
      <c r="C29" s="243" t="s">
        <v>125</v>
      </c>
      <c r="D29" s="251">
        <v>1.0999999999999999E-2</v>
      </c>
      <c r="E29" s="238"/>
      <c r="F29" s="252">
        <f t="shared" si="2"/>
        <v>1.0999999999999999E-2</v>
      </c>
      <c r="G29" s="257"/>
      <c r="H29" s="238"/>
      <c r="I29" s="238"/>
      <c r="J29" s="257"/>
      <c r="K29" s="238"/>
      <c r="L29" s="238"/>
      <c r="M29" s="239">
        <f t="shared" si="3"/>
        <v>1.0999999999999999E-2</v>
      </c>
      <c r="N29" s="178"/>
      <c r="O29" s="252">
        <f t="shared" si="4"/>
        <v>1.0999999999999999E-2</v>
      </c>
    </row>
    <row r="30" spans="1:15" ht="15" customHeight="1">
      <c r="A30" s="236"/>
      <c r="B30" s="256"/>
      <c r="C30" s="236" t="s">
        <v>126</v>
      </c>
      <c r="D30" s="257"/>
      <c r="E30" s="238"/>
      <c r="F30" s="238"/>
      <c r="G30" s="239">
        <v>0.1</v>
      </c>
      <c r="H30" s="245">
        <f>G30</f>
        <v>0.1</v>
      </c>
      <c r="I30" s="240"/>
      <c r="J30" s="237"/>
      <c r="K30" s="240"/>
      <c r="L30" s="240"/>
      <c r="M30" s="239">
        <f>G30</f>
        <v>0.1</v>
      </c>
      <c r="N30" s="245">
        <f>M30</f>
        <v>0.1</v>
      </c>
      <c r="O30" s="258"/>
    </row>
    <row r="31" spans="1:15" ht="15" customHeight="1">
      <c r="A31" s="236"/>
      <c r="B31" s="256"/>
      <c r="C31" s="236" t="s">
        <v>127</v>
      </c>
      <c r="D31" s="257"/>
      <c r="E31" s="238"/>
      <c r="F31" s="238"/>
      <c r="G31" s="239">
        <v>5.7000000000000002E-2</v>
      </c>
      <c r="H31" s="240">
        <v>5.7000000000000002E-2</v>
      </c>
      <c r="I31" s="240"/>
      <c r="J31" s="237"/>
      <c r="K31" s="240"/>
      <c r="L31" s="240"/>
      <c r="M31" s="239">
        <f t="shared" ref="M31:M40" si="5">G31</f>
        <v>5.7000000000000002E-2</v>
      </c>
      <c r="N31" s="245">
        <f t="shared" ref="N31:N40" si="6">M31</f>
        <v>5.7000000000000002E-2</v>
      </c>
      <c r="O31" s="258"/>
    </row>
    <row r="32" spans="1:15" ht="15" customHeight="1">
      <c r="A32" s="236"/>
      <c r="B32" s="256"/>
      <c r="C32" s="236" t="s">
        <v>128</v>
      </c>
      <c r="D32" s="257"/>
      <c r="E32" s="238"/>
      <c r="F32" s="238"/>
      <c r="G32" s="239">
        <v>6.0000000000000001E-3</v>
      </c>
      <c r="H32" s="240">
        <v>6.0000000000000001E-3</v>
      </c>
      <c r="I32" s="240"/>
      <c r="J32" s="237"/>
      <c r="K32" s="240"/>
      <c r="L32" s="240"/>
      <c r="M32" s="239">
        <f t="shared" si="5"/>
        <v>6.0000000000000001E-3</v>
      </c>
      <c r="N32" s="245">
        <f t="shared" si="6"/>
        <v>6.0000000000000001E-3</v>
      </c>
      <c r="O32" s="258"/>
    </row>
    <row r="33" spans="1:15" ht="15" customHeight="1">
      <c r="A33" s="236"/>
      <c r="B33" s="256"/>
      <c r="C33" s="236" t="s">
        <v>129</v>
      </c>
      <c r="D33" s="257"/>
      <c r="E33" s="238"/>
      <c r="F33" s="238"/>
      <c r="G33" s="239">
        <v>0.23100000000000001</v>
      </c>
      <c r="H33" s="240">
        <v>0.23100000000000001</v>
      </c>
      <c r="I33" s="240"/>
      <c r="J33" s="237"/>
      <c r="K33" s="240"/>
      <c r="L33" s="240"/>
      <c r="M33" s="239">
        <f t="shared" si="5"/>
        <v>0.23100000000000001</v>
      </c>
      <c r="N33" s="245">
        <f t="shared" si="6"/>
        <v>0.23100000000000001</v>
      </c>
      <c r="O33" s="258"/>
    </row>
    <row r="34" spans="1:15" ht="15" customHeight="1">
      <c r="A34" s="236"/>
      <c r="B34" s="256"/>
      <c r="C34" s="236" t="s">
        <v>130</v>
      </c>
      <c r="D34" s="257"/>
      <c r="E34" s="238"/>
      <c r="F34" s="238"/>
      <c r="G34" s="239">
        <v>8.1000000000000003E-2</v>
      </c>
      <c r="H34" s="240">
        <f>G34</f>
        <v>8.1000000000000003E-2</v>
      </c>
      <c r="I34" s="178"/>
      <c r="J34" s="237"/>
      <c r="K34" s="240"/>
      <c r="L34" s="240"/>
      <c r="M34" s="239">
        <f t="shared" si="5"/>
        <v>8.1000000000000003E-2</v>
      </c>
      <c r="N34" s="245">
        <f t="shared" si="6"/>
        <v>8.1000000000000003E-2</v>
      </c>
      <c r="O34" s="258"/>
    </row>
    <row r="35" spans="1:15" ht="15" customHeight="1">
      <c r="A35" s="236"/>
      <c r="B35" s="256"/>
      <c r="C35" s="236" t="s">
        <v>131</v>
      </c>
      <c r="D35" s="257"/>
      <c r="E35" s="238"/>
      <c r="F35" s="238"/>
      <c r="G35" s="239">
        <v>7.8100000000000003E-2</v>
      </c>
      <c r="H35" s="240">
        <v>7.8100000000000003E-2</v>
      </c>
      <c r="I35" s="240"/>
      <c r="J35" s="237"/>
      <c r="K35" s="240"/>
      <c r="L35" s="240"/>
      <c r="M35" s="239">
        <f t="shared" si="5"/>
        <v>7.8100000000000003E-2</v>
      </c>
      <c r="N35" s="245">
        <f t="shared" si="6"/>
        <v>7.8100000000000003E-2</v>
      </c>
      <c r="O35" s="258"/>
    </row>
    <row r="36" spans="1:15" ht="15" customHeight="1">
      <c r="A36" s="236"/>
      <c r="B36" s="256"/>
      <c r="C36" s="236" t="s">
        <v>132</v>
      </c>
      <c r="D36" s="257"/>
      <c r="E36" s="238"/>
      <c r="F36" s="238"/>
      <c r="G36" s="239">
        <v>0.41349999999999998</v>
      </c>
      <c r="H36" s="240">
        <v>0.41349999999999998</v>
      </c>
      <c r="I36" s="240"/>
      <c r="J36" s="237"/>
      <c r="K36" s="240"/>
      <c r="L36" s="240"/>
      <c r="M36" s="239">
        <f t="shared" si="5"/>
        <v>0.41349999999999998</v>
      </c>
      <c r="N36" s="245">
        <f t="shared" si="6"/>
        <v>0.41349999999999998</v>
      </c>
      <c r="O36" s="258"/>
    </row>
    <row r="37" spans="1:15" ht="15" customHeight="1">
      <c r="A37" s="236"/>
      <c r="B37" s="256"/>
      <c r="C37" s="236" t="s">
        <v>133</v>
      </c>
      <c r="D37" s="257"/>
      <c r="E37" s="238"/>
      <c r="F37" s="238"/>
      <c r="G37" s="239">
        <v>4.2999999999999997E-2</v>
      </c>
      <c r="H37" s="240">
        <v>4.2999999999999997E-2</v>
      </c>
      <c r="I37" s="240"/>
      <c r="J37" s="237"/>
      <c r="K37" s="240"/>
      <c r="L37" s="240"/>
      <c r="M37" s="239">
        <f t="shared" si="5"/>
        <v>4.2999999999999997E-2</v>
      </c>
      <c r="N37" s="245">
        <f t="shared" si="6"/>
        <v>4.2999999999999997E-2</v>
      </c>
      <c r="O37" s="258"/>
    </row>
    <row r="38" spans="1:15" ht="15" customHeight="1">
      <c r="A38" s="236"/>
      <c r="B38" s="256"/>
      <c r="C38" s="236" t="s">
        <v>134</v>
      </c>
      <c r="D38" s="257"/>
      <c r="E38" s="238"/>
      <c r="F38" s="238"/>
      <c r="G38" s="239">
        <v>1.6E-2</v>
      </c>
      <c r="H38" s="245">
        <f>G38</f>
        <v>1.6E-2</v>
      </c>
      <c r="I38" s="240"/>
      <c r="J38" s="237"/>
      <c r="K38" s="240"/>
      <c r="L38" s="240"/>
      <c r="M38" s="239">
        <f t="shared" si="5"/>
        <v>1.6E-2</v>
      </c>
      <c r="N38" s="245">
        <f t="shared" si="6"/>
        <v>1.6E-2</v>
      </c>
      <c r="O38" s="249"/>
    </row>
    <row r="39" spans="1:15" ht="15" customHeight="1">
      <c r="A39" s="236"/>
      <c r="B39" s="256"/>
      <c r="C39" s="236" t="s">
        <v>135</v>
      </c>
      <c r="D39" s="257"/>
      <c r="E39" s="238"/>
      <c r="F39" s="238"/>
      <c r="G39" s="239">
        <v>3.6700000000000003E-2</v>
      </c>
      <c r="H39" s="240">
        <f>G39</f>
        <v>3.6700000000000003E-2</v>
      </c>
      <c r="I39" s="178"/>
      <c r="J39" s="237"/>
      <c r="K39" s="240"/>
      <c r="L39" s="240"/>
      <c r="M39" s="239">
        <f t="shared" si="5"/>
        <v>3.6700000000000003E-2</v>
      </c>
      <c r="N39" s="245">
        <f t="shared" si="6"/>
        <v>3.6700000000000003E-2</v>
      </c>
      <c r="O39" s="249"/>
    </row>
    <row r="40" spans="1:15" ht="15" customHeight="1">
      <c r="A40" s="236"/>
      <c r="B40" s="256"/>
      <c r="C40" s="236" t="s">
        <v>136</v>
      </c>
      <c r="D40" s="257"/>
      <c r="E40" s="238"/>
      <c r="F40" s="238"/>
      <c r="G40" s="239">
        <v>2.1999999999999999E-2</v>
      </c>
      <c r="H40" s="245">
        <f>G40</f>
        <v>2.1999999999999999E-2</v>
      </c>
      <c r="I40" s="240"/>
      <c r="J40" s="237"/>
      <c r="K40" s="240"/>
      <c r="L40" s="240"/>
      <c r="M40" s="239">
        <f t="shared" si="5"/>
        <v>2.1999999999999999E-2</v>
      </c>
      <c r="N40" s="245">
        <f t="shared" si="6"/>
        <v>2.1999999999999999E-2</v>
      </c>
      <c r="O40" s="249"/>
    </row>
    <row r="41" spans="1:15" ht="15.75">
      <c r="A41" s="236"/>
      <c r="B41" s="256"/>
      <c r="C41" s="236" t="s">
        <v>137</v>
      </c>
      <c r="D41" s="257"/>
      <c r="E41" s="238"/>
      <c r="F41" s="238"/>
      <c r="G41" s="237"/>
      <c r="H41" s="240"/>
      <c r="I41" s="240"/>
      <c r="J41" s="237">
        <v>1.4E-2</v>
      </c>
      <c r="K41" s="240">
        <f>J41</f>
        <v>1.4E-2</v>
      </c>
      <c r="L41" s="240"/>
      <c r="M41" s="239">
        <f>J41</f>
        <v>1.4E-2</v>
      </c>
      <c r="N41" s="240">
        <f>K41</f>
        <v>1.4E-2</v>
      </c>
      <c r="O41" s="249"/>
    </row>
    <row r="42" spans="1:15" ht="16.5" thickBot="1">
      <c r="A42" s="236"/>
      <c r="B42" s="256"/>
      <c r="C42" s="236" t="s">
        <v>138</v>
      </c>
      <c r="D42" s="257"/>
      <c r="E42" s="238"/>
      <c r="F42" s="238"/>
      <c r="G42" s="237"/>
      <c r="H42" s="240"/>
      <c r="I42" s="240"/>
      <c r="J42" s="237">
        <v>0.13700000000000001</v>
      </c>
      <c r="K42" s="240">
        <f>J42</f>
        <v>0.13700000000000001</v>
      </c>
      <c r="L42" s="240"/>
      <c r="M42" s="239">
        <f>J42</f>
        <v>0.13700000000000001</v>
      </c>
      <c r="N42" s="240">
        <f>J42</f>
        <v>0.13700000000000001</v>
      </c>
      <c r="O42" s="249"/>
    </row>
    <row r="43" spans="1:15" ht="16.5" thickBot="1">
      <c r="A43" s="246"/>
      <c r="B43" s="4" t="s">
        <v>139</v>
      </c>
      <c r="C43" s="259"/>
      <c r="D43" s="7">
        <f t="shared" ref="D43:L43" si="7">SUM(D24:D42)</f>
        <v>0.111</v>
      </c>
      <c r="E43" s="7">
        <f t="shared" si="7"/>
        <v>0</v>
      </c>
      <c r="F43" s="7">
        <f t="shared" si="7"/>
        <v>0.111</v>
      </c>
      <c r="G43" s="9">
        <f t="shared" si="7"/>
        <v>1.0843</v>
      </c>
      <c r="H43" s="9">
        <f t="shared" si="7"/>
        <v>1.0843</v>
      </c>
      <c r="I43" s="9">
        <f t="shared" si="7"/>
        <v>0</v>
      </c>
      <c r="J43" s="7">
        <f t="shared" si="7"/>
        <v>0.151</v>
      </c>
      <c r="K43" s="7">
        <f t="shared" si="7"/>
        <v>0.151</v>
      </c>
      <c r="L43" s="7">
        <f t="shared" si="7"/>
        <v>0</v>
      </c>
      <c r="M43" s="9">
        <f>D43+G43+J43</f>
        <v>1.3463000000000001</v>
      </c>
      <c r="N43" s="5">
        <f>H43+K43</f>
        <v>1.2353000000000001</v>
      </c>
      <c r="O43" s="9">
        <f>F43+I43+L43</f>
        <v>0.111</v>
      </c>
    </row>
    <row r="44" spans="1:15" ht="15.75">
      <c r="A44" s="260">
        <v>19</v>
      </c>
      <c r="B44" s="260" t="s">
        <v>186</v>
      </c>
      <c r="C44" s="261" t="s">
        <v>140</v>
      </c>
      <c r="D44" s="262">
        <v>0.124</v>
      </c>
      <c r="E44" s="263"/>
      <c r="F44" s="264">
        <f>D44</f>
        <v>0.124</v>
      </c>
      <c r="G44" s="265"/>
      <c r="H44" s="266"/>
      <c r="I44" s="266"/>
      <c r="J44" s="265"/>
      <c r="K44" s="266"/>
      <c r="L44" s="266"/>
      <c r="M44" s="267">
        <f>D44</f>
        <v>0.124</v>
      </c>
      <c r="N44" s="268"/>
      <c r="O44" s="263">
        <f>F44</f>
        <v>0.124</v>
      </c>
    </row>
    <row r="45" spans="1:15" ht="15.75">
      <c r="A45" s="236"/>
      <c r="B45" s="256"/>
      <c r="C45" s="236" t="s">
        <v>141</v>
      </c>
      <c r="D45" s="237"/>
      <c r="E45" s="240"/>
      <c r="F45" s="240"/>
      <c r="G45" s="237">
        <v>0.59</v>
      </c>
      <c r="H45" s="240">
        <v>0.59</v>
      </c>
      <c r="I45" s="240"/>
      <c r="J45" s="237"/>
      <c r="K45" s="240"/>
      <c r="L45" s="240"/>
      <c r="M45" s="237">
        <v>0.59</v>
      </c>
      <c r="N45" s="240">
        <v>0.59</v>
      </c>
      <c r="O45" s="249"/>
    </row>
    <row r="46" spans="1:15" ht="15.75">
      <c r="A46" s="236"/>
      <c r="B46" s="256"/>
      <c r="C46" s="236" t="s">
        <v>142</v>
      </c>
      <c r="D46" s="237"/>
      <c r="E46" s="240"/>
      <c r="F46" s="240"/>
      <c r="G46" s="237">
        <v>0.14699999999999999</v>
      </c>
      <c r="H46" s="240">
        <f>G46</f>
        <v>0.14699999999999999</v>
      </c>
      <c r="I46" s="240"/>
      <c r="J46" s="237"/>
      <c r="K46" s="240"/>
      <c r="L46" s="240"/>
      <c r="M46" s="237">
        <f>G46</f>
        <v>0.14699999999999999</v>
      </c>
      <c r="N46" s="240">
        <f>M46</f>
        <v>0.14699999999999999</v>
      </c>
      <c r="O46" s="249"/>
    </row>
    <row r="47" spans="1:15" ht="15.75">
      <c r="A47" s="236"/>
      <c r="B47" s="256"/>
      <c r="C47" s="236" t="s">
        <v>144</v>
      </c>
      <c r="D47" s="237"/>
      <c r="E47" s="240"/>
      <c r="F47" s="240"/>
      <c r="G47" s="237">
        <v>0.11600000000000001</v>
      </c>
      <c r="H47" s="240">
        <f>M47</f>
        <v>0.11600000000000001</v>
      </c>
      <c r="I47" s="240"/>
      <c r="J47" s="237"/>
      <c r="K47" s="240"/>
      <c r="L47" s="240"/>
      <c r="M47" s="237">
        <v>0.11600000000000001</v>
      </c>
      <c r="N47" s="240">
        <f>H47</f>
        <v>0.11600000000000001</v>
      </c>
      <c r="O47" s="249"/>
    </row>
    <row r="48" spans="1:15" ht="15.75">
      <c r="A48" s="236"/>
      <c r="B48" s="256"/>
      <c r="C48" s="236" t="s">
        <v>145</v>
      </c>
      <c r="D48" s="237"/>
      <c r="E48" s="240"/>
      <c r="F48" s="240"/>
      <c r="G48" s="237">
        <v>8.6999999999999994E-2</v>
      </c>
      <c r="H48" s="240">
        <f>M48</f>
        <v>8.6999999999999994E-2</v>
      </c>
      <c r="I48" s="240"/>
      <c r="J48" s="237"/>
      <c r="K48" s="240"/>
      <c r="L48" s="240"/>
      <c r="M48" s="237">
        <v>8.6999999999999994E-2</v>
      </c>
      <c r="N48" s="240">
        <f>H48</f>
        <v>8.6999999999999994E-2</v>
      </c>
      <c r="O48" s="249"/>
    </row>
    <row r="49" spans="1:42" ht="15.75">
      <c r="A49" s="236"/>
      <c r="B49" s="256"/>
      <c r="C49" s="236" t="s">
        <v>146</v>
      </c>
      <c r="D49" s="237"/>
      <c r="E49" s="240"/>
      <c r="F49" s="240"/>
      <c r="G49" s="237"/>
      <c r="H49" s="240"/>
      <c r="I49" s="240"/>
      <c r="J49" s="237">
        <v>5.0999999999999997E-2</v>
      </c>
      <c r="K49" s="240">
        <v>5.0999999999999997E-2</v>
      </c>
      <c r="L49" s="240"/>
      <c r="M49" s="237">
        <v>5.0999999999999997E-2</v>
      </c>
      <c r="N49" s="240">
        <v>5.0999999999999997E-2</v>
      </c>
      <c r="O49" s="249"/>
    </row>
    <row r="50" spans="1:42" ht="16.5" thickBot="1">
      <c r="A50" s="236"/>
      <c r="B50" s="256"/>
      <c r="C50" s="236" t="s">
        <v>147</v>
      </c>
      <c r="D50" s="237"/>
      <c r="E50" s="240"/>
      <c r="F50" s="240"/>
      <c r="G50" s="237"/>
      <c r="H50" s="240"/>
      <c r="I50" s="240"/>
      <c r="J50" s="237">
        <v>0.12809999999999999</v>
      </c>
      <c r="K50" s="240">
        <v>0.12809999999999999</v>
      </c>
      <c r="L50" s="240"/>
      <c r="M50" s="237">
        <v>0.12809999999999999</v>
      </c>
      <c r="N50" s="240">
        <v>0.12809999999999999</v>
      </c>
      <c r="O50" s="249"/>
    </row>
    <row r="51" spans="1:42" ht="16.5" thickBot="1">
      <c r="A51" s="246"/>
      <c r="B51" s="4" t="s">
        <v>148</v>
      </c>
      <c r="C51" s="259"/>
      <c r="D51" s="7">
        <f>SUM(D44:D50)</f>
        <v>0.124</v>
      </c>
      <c r="E51" s="5"/>
      <c r="F51" s="7">
        <f>SUM(F44:F50)</f>
        <v>0.124</v>
      </c>
      <c r="G51" s="5">
        <f>SUM(G45:G50)</f>
        <v>0.94</v>
      </c>
      <c r="H51" s="5">
        <f>SUM(H45:H50)</f>
        <v>0.94</v>
      </c>
      <c r="I51" s="5"/>
      <c r="J51" s="5">
        <f>SUM(J49:J50)</f>
        <v>0.17910000000000001</v>
      </c>
      <c r="K51" s="5">
        <f>SUM(K49:K50)</f>
        <v>0.17910000000000001</v>
      </c>
      <c r="L51" s="5">
        <f>SUM(L49:L50)</f>
        <v>0</v>
      </c>
      <c r="M51" s="9">
        <f t="shared" ref="M51:M56" si="8">D51+G51+J51</f>
        <v>1.2431000000000001</v>
      </c>
      <c r="N51" s="5">
        <f>H51+K51</f>
        <v>1.1191</v>
      </c>
      <c r="O51" s="9">
        <f>F51+L51</f>
        <v>0.124</v>
      </c>
    </row>
    <row r="52" spans="1:42" ht="15.75">
      <c r="A52" s="227">
        <v>22</v>
      </c>
      <c r="B52" s="269" t="s">
        <v>372</v>
      </c>
      <c r="C52" s="227" t="s">
        <v>149</v>
      </c>
      <c r="D52" s="270"/>
      <c r="E52" s="233"/>
      <c r="F52" s="271"/>
      <c r="G52" s="232">
        <v>0.22500000000000001</v>
      </c>
      <c r="H52" s="234">
        <v>0.22500000000000001</v>
      </c>
      <c r="I52" s="233"/>
      <c r="J52" s="270"/>
      <c r="K52" s="233"/>
      <c r="L52" s="233"/>
      <c r="M52" s="232">
        <f t="shared" si="8"/>
        <v>0.22500000000000001</v>
      </c>
      <c r="N52" s="234">
        <f>E52+H52+K52</f>
        <v>0.22500000000000001</v>
      </c>
      <c r="O52" s="234">
        <f>F52+I52+L52</f>
        <v>0</v>
      </c>
    </row>
    <row r="53" spans="1:42" ht="15.75">
      <c r="A53" s="227">
        <v>25</v>
      </c>
      <c r="B53" s="227" t="s">
        <v>373</v>
      </c>
      <c r="C53" s="227" t="s">
        <v>150</v>
      </c>
      <c r="D53" s="270"/>
      <c r="E53" s="272"/>
      <c r="F53" s="273"/>
      <c r="G53" s="274">
        <v>0.32</v>
      </c>
      <c r="H53" s="234">
        <v>0.32</v>
      </c>
      <c r="I53" s="233"/>
      <c r="J53" s="270"/>
      <c r="K53" s="233"/>
      <c r="L53" s="233"/>
      <c r="M53" s="232">
        <f t="shared" si="8"/>
        <v>0.32</v>
      </c>
      <c r="N53" s="234">
        <f>H53+K53</f>
        <v>0.32</v>
      </c>
      <c r="O53" s="234">
        <f>E53+I53+L53</f>
        <v>0</v>
      </c>
    </row>
    <row r="54" spans="1:42" ht="15.75">
      <c r="A54" s="227">
        <v>27</v>
      </c>
      <c r="B54" s="227" t="s">
        <v>191</v>
      </c>
      <c r="C54" s="227" t="s">
        <v>151</v>
      </c>
      <c r="D54" s="270"/>
      <c r="E54" s="233"/>
      <c r="F54" s="229"/>
      <c r="G54" s="232">
        <v>0.14499999999999999</v>
      </c>
      <c r="H54" s="234">
        <v>0.14499999999999999</v>
      </c>
      <c r="I54" s="234"/>
      <c r="J54" s="270"/>
      <c r="K54" s="233"/>
      <c r="L54" s="233"/>
      <c r="M54" s="232">
        <f t="shared" si="8"/>
        <v>0.14499999999999999</v>
      </c>
      <c r="N54" s="234">
        <f>E54+H54+K54</f>
        <v>0.14499999999999999</v>
      </c>
      <c r="O54" s="234">
        <f>F54+I54+L54</f>
        <v>0</v>
      </c>
    </row>
    <row r="55" spans="1:42" ht="15.75">
      <c r="A55" s="227"/>
      <c r="B55" s="269"/>
      <c r="C55" s="269" t="s">
        <v>374</v>
      </c>
      <c r="D55" s="275"/>
      <c r="E55" s="276"/>
      <c r="F55" s="276"/>
      <c r="G55" s="235">
        <v>7.0000000000000007E-2</v>
      </c>
      <c r="H55" s="277">
        <f>G55</f>
        <v>7.0000000000000007E-2</v>
      </c>
      <c r="I55" s="278"/>
      <c r="J55" s="275"/>
      <c r="K55" s="233"/>
      <c r="L55" s="233"/>
      <c r="M55" s="235">
        <v>7.0000000000000007E-2</v>
      </c>
      <c r="N55" s="277">
        <f>M55</f>
        <v>7.0000000000000007E-2</v>
      </c>
      <c r="O55" s="234"/>
      <c r="P55" s="279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1"/>
      <c r="AM55" s="280"/>
      <c r="AN55" s="280"/>
      <c r="AO55" s="280"/>
      <c r="AP55" s="183"/>
    </row>
    <row r="56" spans="1:42" ht="15.75">
      <c r="A56" s="227">
        <v>28</v>
      </c>
      <c r="B56" s="227" t="s">
        <v>192</v>
      </c>
      <c r="C56" s="227" t="s">
        <v>152</v>
      </c>
      <c r="D56" s="270"/>
      <c r="E56" s="233"/>
      <c r="F56" s="233"/>
      <c r="G56" s="232">
        <v>0.20499999999999999</v>
      </c>
      <c r="H56" s="234">
        <v>0.20499999999999999</v>
      </c>
      <c r="I56" s="178"/>
      <c r="J56" s="270"/>
      <c r="K56" s="233"/>
      <c r="L56" s="233"/>
      <c r="M56" s="232">
        <f t="shared" si="8"/>
        <v>0.20499999999999999</v>
      </c>
      <c r="N56" s="234">
        <f>F56+H56+L56</f>
        <v>0.20499999999999999</v>
      </c>
      <c r="O56" s="282"/>
    </row>
    <row r="57" spans="1:42" ht="15.75">
      <c r="A57" s="236">
        <v>29</v>
      </c>
      <c r="B57" s="236" t="s">
        <v>375</v>
      </c>
      <c r="C57" s="236" t="s">
        <v>153</v>
      </c>
      <c r="D57" s="257"/>
      <c r="E57" s="238"/>
      <c r="F57" s="238"/>
      <c r="G57" s="237">
        <v>2.4E-2</v>
      </c>
      <c r="H57" s="240">
        <v>2.4E-2</v>
      </c>
      <c r="I57" s="178"/>
      <c r="J57" s="257"/>
      <c r="K57" s="238"/>
      <c r="L57" s="238"/>
      <c r="M57" s="529">
        <f>G57+G58</f>
        <v>6.4000000000000001E-2</v>
      </c>
      <c r="N57" s="529">
        <f>M57</f>
        <v>6.4000000000000001E-2</v>
      </c>
      <c r="O57" s="282"/>
    </row>
    <row r="58" spans="1:42" ht="15.75">
      <c r="A58" s="236"/>
      <c r="B58" s="256"/>
      <c r="C58" s="236" t="s">
        <v>154</v>
      </c>
      <c r="D58" s="257"/>
      <c r="E58" s="238"/>
      <c r="F58" s="238"/>
      <c r="G58" s="237">
        <v>0.04</v>
      </c>
      <c r="H58" s="240">
        <v>0.04</v>
      </c>
      <c r="I58" s="178"/>
      <c r="J58" s="257"/>
      <c r="K58" s="238"/>
      <c r="L58" s="238"/>
      <c r="M58" s="529"/>
      <c r="N58" s="529"/>
      <c r="O58" s="282"/>
    </row>
    <row r="59" spans="1:42" ht="18" customHeight="1">
      <c r="A59" s="236">
        <v>30</v>
      </c>
      <c r="B59" s="236" t="s">
        <v>193</v>
      </c>
      <c r="C59" s="236" t="s">
        <v>155</v>
      </c>
      <c r="D59" s="257"/>
      <c r="E59" s="238"/>
      <c r="F59" s="238"/>
      <c r="G59" s="239">
        <v>0.34399999999999997</v>
      </c>
      <c r="H59" s="245">
        <f>G59</f>
        <v>0.34399999999999997</v>
      </c>
      <c r="I59" s="238"/>
      <c r="J59" s="257"/>
      <c r="K59" s="238"/>
      <c r="L59" s="238"/>
      <c r="M59" s="529">
        <f>G59+G60+G61</f>
        <v>0.51880000000000004</v>
      </c>
      <c r="N59" s="530">
        <f>M59</f>
        <v>0.51880000000000004</v>
      </c>
      <c r="O59" s="529"/>
    </row>
    <row r="60" spans="1:42" ht="15.75">
      <c r="A60" s="236"/>
      <c r="B60" s="256"/>
      <c r="C60" s="236" t="s">
        <v>156</v>
      </c>
      <c r="D60" s="257"/>
      <c r="E60" s="238"/>
      <c r="F60" s="238"/>
      <c r="G60" s="239">
        <v>9.35E-2</v>
      </c>
      <c r="H60" s="240">
        <v>9.35E-2</v>
      </c>
      <c r="I60" s="238"/>
      <c r="J60" s="257"/>
      <c r="K60" s="238"/>
      <c r="L60" s="238"/>
      <c r="M60" s="529"/>
      <c r="N60" s="530"/>
      <c r="O60" s="529"/>
    </row>
    <row r="61" spans="1:42" ht="15.75">
      <c r="A61" s="236"/>
      <c r="B61" s="256"/>
      <c r="C61" s="236" t="s">
        <v>157</v>
      </c>
      <c r="D61" s="257"/>
      <c r="E61" s="238"/>
      <c r="F61" s="238"/>
      <c r="G61" s="239">
        <v>8.1299999999999997E-2</v>
      </c>
      <c r="H61" s="240">
        <v>8.1299999999999997E-2</v>
      </c>
      <c r="I61" s="238"/>
      <c r="J61" s="257"/>
      <c r="K61" s="238"/>
      <c r="L61" s="238"/>
      <c r="M61" s="529"/>
      <c r="N61" s="530"/>
      <c r="O61" s="529"/>
    </row>
    <row r="62" spans="1:42" ht="15.75">
      <c r="A62" s="236">
        <v>32</v>
      </c>
      <c r="B62" s="236" t="s">
        <v>194</v>
      </c>
      <c r="C62" s="236" t="s">
        <v>158</v>
      </c>
      <c r="D62" s="257"/>
      <c r="E62" s="238"/>
      <c r="F62" s="238"/>
      <c r="G62" s="239">
        <v>0.13300000000000001</v>
      </c>
      <c r="H62" s="240">
        <v>0.13</v>
      </c>
      <c r="I62" s="240">
        <v>3.0000000000000001E-3</v>
      </c>
      <c r="J62" s="257"/>
      <c r="K62" s="238"/>
      <c r="L62" s="238"/>
      <c r="M62" s="529">
        <f>G62+G63</f>
        <v>0.2072</v>
      </c>
      <c r="N62" s="529">
        <f>H62+H63</f>
        <v>0.20419999999999999</v>
      </c>
      <c r="O62" s="529">
        <f>I62+I63</f>
        <v>3.0000000000000001E-3</v>
      </c>
    </row>
    <row r="63" spans="1:42" ht="15.75">
      <c r="A63" s="236"/>
      <c r="B63" s="256"/>
      <c r="C63" s="236" t="s">
        <v>159</v>
      </c>
      <c r="D63" s="257"/>
      <c r="E63" s="238"/>
      <c r="F63" s="238"/>
      <c r="G63" s="239">
        <v>7.4200000000000002E-2</v>
      </c>
      <c r="H63" s="240">
        <f>G63</f>
        <v>7.4200000000000002E-2</v>
      </c>
      <c r="I63" s="240"/>
      <c r="J63" s="257"/>
      <c r="K63" s="238"/>
      <c r="L63" s="238"/>
      <c r="M63" s="529"/>
      <c r="N63" s="529"/>
      <c r="O63" s="529"/>
    </row>
    <row r="64" spans="1:42" ht="16.5" thickBot="1">
      <c r="A64" s="283">
        <v>33</v>
      </c>
      <c r="B64" s="283" t="s">
        <v>376</v>
      </c>
      <c r="C64" s="283" t="s">
        <v>160</v>
      </c>
      <c r="D64" s="284"/>
      <c r="E64" s="285"/>
      <c r="F64" s="285"/>
      <c r="G64" s="286">
        <v>4.53E-2</v>
      </c>
      <c r="H64" s="287">
        <v>4.53E-2</v>
      </c>
      <c r="I64" s="285"/>
      <c r="J64" s="284"/>
      <c r="K64" s="285"/>
      <c r="L64" s="285"/>
      <c r="M64" s="288">
        <v>4.53E-2</v>
      </c>
      <c r="N64" s="288">
        <v>4.53E-2</v>
      </c>
      <c r="O64" s="285"/>
    </row>
    <row r="65" spans="1:15" ht="18.75" thickBot="1">
      <c r="A65" s="246"/>
      <c r="B65" s="4" t="s">
        <v>161</v>
      </c>
      <c r="C65" s="259"/>
      <c r="D65" s="289">
        <f>SUM(D51:D64)+D43+D23+D22+D21+D15+D14+D13+D12+D11+D10+D9+D19</f>
        <v>0.23499999999999999</v>
      </c>
      <c r="E65" s="289">
        <f>SUM(E51:E64)+E43+E23+E22+E21+E15+E14+E13+E12+E11+E10+E9+E19</f>
        <v>0</v>
      </c>
      <c r="F65" s="289">
        <f>SUM(F51:F64)+F43+F23+F22+F21+F15+F14+F13+F12+F11+F10+F9+F19</f>
        <v>0.23499999999999999</v>
      </c>
      <c r="G65" s="289">
        <f>SUM(G51:G64)+G43+G23+G22+G21+G15+G14+G13+G12+G11+G10+G9+G19+G20</f>
        <v>4.9847000000000001</v>
      </c>
      <c r="H65" s="289">
        <f>SUM(H51:H64)+H43+H23+H22+H21+H15+H14+H13+H12+H11+H10+H9+H19+H20</f>
        <v>4.9489000000000001</v>
      </c>
      <c r="I65" s="289">
        <f>SUM(I51:I64)+I43+I23+I22+I21+I15+I14+I13+I12+I11+I10+I9+I19</f>
        <v>3.5799999999999998E-2</v>
      </c>
      <c r="J65" s="289">
        <f>SUM(J51:J64)+J43+J23+J22+J21+J15+J14+J13+J12+J11+J10+J9+J19</f>
        <v>0.36509999999999998</v>
      </c>
      <c r="K65" s="289">
        <f>SUM(K51:K64)+K43+K23+K22+K21+K15+K14+K13+K12+K11+K10+K9+K19</f>
        <v>0.3301</v>
      </c>
      <c r="L65" s="289">
        <f>SUM(L51:L64)+L43+L23+L22+L21+L15+L14+L13+L12+L11+L10+L9+L19</f>
        <v>3.5000000000000003E-2</v>
      </c>
      <c r="M65" s="289">
        <f>SUM(M51:M64)+M43+M23+M22+M21+M15+M14+M13+M12+M11+M10+M9+M19+M20</f>
        <v>5.5848000000000004</v>
      </c>
      <c r="N65" s="289">
        <f>SUM(N51:N64)+N43+N23+N22+N21+N15+N14+N13+N12+N11+N10+N9+N19+N20</f>
        <v>5.2789999999999999</v>
      </c>
      <c r="O65" s="289">
        <f>SUM(O51:O64)+O43+O23+O22+O21+O15+O14+O13+O12+O11+O10+O9+O19</f>
        <v>0.30580000000000002</v>
      </c>
    </row>
    <row r="68" spans="1:15">
      <c r="M68" s="290"/>
      <c r="N68" s="291"/>
    </row>
    <row r="69" spans="1:15">
      <c r="M69" s="290"/>
      <c r="O69" s="292"/>
    </row>
    <row r="70" spans="1:15" ht="15.75">
      <c r="C70" s="1" t="s">
        <v>92</v>
      </c>
      <c r="D70" s="54"/>
      <c r="E70" s="54"/>
      <c r="F70" s="54"/>
      <c r="G70" s="54"/>
      <c r="J70" s="293">
        <f>D65+G65+J65</f>
        <v>5.5848000000000004</v>
      </c>
    </row>
    <row r="71" spans="1:15">
      <c r="M71" s="290"/>
    </row>
    <row r="73" spans="1:15" ht="18">
      <c r="C73" s="294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5">
      <c r="C74" s="294"/>
    </row>
    <row r="75" spans="1:15">
      <c r="C75" s="294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</row>
    <row r="76" spans="1:15">
      <c r="C76" s="294"/>
    </row>
  </sheetData>
  <mergeCells count="22">
    <mergeCell ref="M62:M63"/>
    <mergeCell ref="N62:N63"/>
    <mergeCell ref="O62:O63"/>
    <mergeCell ref="M57:M58"/>
    <mergeCell ref="N57:N58"/>
    <mergeCell ref="M59:M61"/>
    <mergeCell ref="N59:N61"/>
    <mergeCell ref="N1:O1"/>
    <mergeCell ref="B4:O4"/>
    <mergeCell ref="B5:O5"/>
    <mergeCell ref="M7:M8"/>
    <mergeCell ref="O59:O61"/>
    <mergeCell ref="J7:L7"/>
    <mergeCell ref="N7:N8"/>
    <mergeCell ref="O7:O8"/>
    <mergeCell ref="M10:M11"/>
    <mergeCell ref="N10:N11"/>
    <mergeCell ref="A7:A8"/>
    <mergeCell ref="B7:B8"/>
    <mergeCell ref="C7:C8"/>
    <mergeCell ref="D7:F7"/>
    <mergeCell ref="G7:I7"/>
  </mergeCells>
  <phoneticPr fontId="2" type="noConversion"/>
  <pageMargins left="0.78740157480314965" right="0.39370078740157483" top="0.39370078740157483" bottom="0.39370078740157483" header="0.51181102362204722" footer="0.51181102362204722"/>
  <pageSetup paperSize="9" scale="60" orientation="landscape" verticalDpi="0" r:id="rId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0"/>
  </sheetPr>
  <dimension ref="A1:AS77"/>
  <sheetViews>
    <sheetView topLeftCell="A7" zoomScale="75" zoomScaleNormal="75" workbookViewId="0">
      <selection activeCell="C25" sqref="C25"/>
    </sheetView>
  </sheetViews>
  <sheetFormatPr defaultRowHeight="15"/>
  <cols>
    <col min="1" max="1" width="7.7109375" style="3" customWidth="1"/>
    <col min="2" max="2" width="31.28515625" style="296" customWidth="1"/>
    <col min="3" max="3" width="30.42578125" style="296" customWidth="1"/>
    <col min="4" max="4" width="14.5703125" style="293" customWidth="1"/>
    <col min="5" max="5" width="10.5703125" style="291" customWidth="1"/>
    <col min="6" max="6" width="12" style="291" customWidth="1"/>
    <col min="7" max="7" width="12.7109375" style="293" customWidth="1"/>
    <col min="8" max="8" width="10.140625" style="291" customWidth="1"/>
    <col min="9" max="9" width="11" style="291" customWidth="1"/>
    <col min="10" max="10" width="13.85546875" style="293" customWidth="1"/>
    <col min="11" max="12" width="10.5703125" style="179" customWidth="1"/>
    <col min="13" max="13" width="18.42578125" style="58" customWidth="1"/>
    <col min="14" max="14" width="9.85546875" style="179" customWidth="1"/>
    <col min="15" max="15" width="11.42578125" style="179" customWidth="1"/>
    <col min="16" max="16" width="17.5703125" style="179" customWidth="1"/>
    <col min="17" max="17" width="12" style="183" customWidth="1"/>
    <col min="18" max="18" width="13.140625" style="183" customWidth="1"/>
    <col min="19" max="19" width="12.42578125" style="183" customWidth="1"/>
    <col min="20" max="20" width="12" style="183" customWidth="1"/>
    <col min="21" max="21" width="12.85546875" style="183" customWidth="1"/>
    <col min="22" max="22" width="11.28515625" style="183" customWidth="1"/>
    <col min="23" max="23" width="11.5703125" style="183" customWidth="1"/>
    <col min="24" max="24" width="12.42578125" style="183" customWidth="1"/>
    <col min="25" max="25" width="11.28515625" style="183" customWidth="1"/>
    <col min="26" max="26" width="12" style="183" customWidth="1"/>
    <col min="27" max="27" width="13" style="183" customWidth="1"/>
    <col min="28" max="28" width="11.42578125" style="183" customWidth="1"/>
    <col min="29" max="29" width="12" style="183" customWidth="1"/>
    <col min="30" max="30" width="11.85546875" style="183" customWidth="1"/>
    <col min="31" max="31" width="11.42578125" style="183" customWidth="1"/>
    <col min="32" max="32" width="12" style="183" customWidth="1"/>
    <col min="33" max="33" width="13.85546875" style="183" customWidth="1"/>
    <col min="34" max="34" width="11.42578125" style="183" customWidth="1"/>
    <col min="35" max="35" width="12" style="183" customWidth="1"/>
    <col min="36" max="36" width="13" style="183" customWidth="1"/>
    <col min="37" max="37" width="11.42578125" style="183" customWidth="1"/>
    <col min="38" max="38" width="14.7109375" style="297" bestFit="1" customWidth="1"/>
    <col min="39" max="39" width="13" style="183" bestFit="1" customWidth="1"/>
    <col min="40" max="40" width="14.7109375" style="183" bestFit="1" customWidth="1"/>
    <col min="41" max="41" width="12.85546875" style="183" customWidth="1"/>
    <col min="42" max="42" width="9.140625" style="183"/>
    <col min="43" max="44" width="9.140625" style="181"/>
    <col min="45" max="45" width="14.85546875" style="181" customWidth="1"/>
    <col min="46" max="16384" width="9.140625" style="181"/>
  </cols>
  <sheetData>
    <row r="1" spans="1:45" ht="15.75">
      <c r="M1" s="54" t="s">
        <v>176</v>
      </c>
      <c r="O1" s="54"/>
    </row>
    <row r="4" spans="1:45" ht="18">
      <c r="B4" s="528" t="s">
        <v>283</v>
      </c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</row>
    <row r="5" spans="1:45" ht="18.75" thickBot="1">
      <c r="B5" s="528" t="s">
        <v>93</v>
      </c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</row>
    <row r="6" spans="1:45" ht="18.75" thickBot="1">
      <c r="B6" s="51"/>
      <c r="C6" s="51"/>
      <c r="D6" s="298"/>
      <c r="E6" s="298"/>
      <c r="F6" s="298"/>
      <c r="G6" s="298"/>
      <c r="H6" s="298"/>
      <c r="I6" s="298"/>
      <c r="J6" s="298"/>
      <c r="K6" s="51"/>
      <c r="L6" s="51"/>
      <c r="M6" s="51"/>
      <c r="N6" s="51"/>
      <c r="O6" s="51"/>
      <c r="P6" s="299"/>
      <c r="Q6" s="300" t="s">
        <v>263</v>
      </c>
      <c r="R6" s="300" t="s">
        <v>264</v>
      </c>
      <c r="S6" s="300" t="s">
        <v>265</v>
      </c>
      <c r="T6" s="301" t="s">
        <v>266</v>
      </c>
      <c r="U6" s="300" t="s">
        <v>260</v>
      </c>
      <c r="V6" s="301" t="s">
        <v>261</v>
      </c>
      <c r="W6" s="300" t="s">
        <v>262</v>
      </c>
      <c r="X6" s="53" t="s">
        <v>289</v>
      </c>
      <c r="Y6" s="55"/>
      <c r="Z6" s="55"/>
      <c r="AA6" s="55"/>
      <c r="AB6" s="55"/>
    </row>
    <row r="7" spans="1:45" ht="87" customHeight="1" thickBot="1">
      <c r="B7" s="302" t="s">
        <v>293</v>
      </c>
      <c r="C7" s="302" t="s">
        <v>292</v>
      </c>
      <c r="D7" s="303" t="s">
        <v>290</v>
      </c>
      <c r="E7" s="298"/>
      <c r="F7" s="298"/>
      <c r="G7" s="298"/>
      <c r="H7" s="298"/>
      <c r="I7" s="298"/>
      <c r="J7" s="298"/>
      <c r="K7" s="51"/>
      <c r="L7" s="51"/>
      <c r="M7" s="51"/>
      <c r="N7" s="51"/>
      <c r="O7" s="51"/>
      <c r="P7" s="304" t="s">
        <v>287</v>
      </c>
      <c r="Q7" s="305">
        <f>'[3]Вхідні дані'!E33</f>
        <v>31</v>
      </c>
      <c r="R7" s="305">
        <v>29</v>
      </c>
      <c r="S7" s="305">
        <f>'[3]Вхідні дані'!E35</f>
        <v>31</v>
      </c>
      <c r="T7" s="306">
        <v>10</v>
      </c>
      <c r="U7" s="305">
        <f>'[3]Вхідні дані'!E30</f>
        <v>15</v>
      </c>
      <c r="V7" s="306">
        <f>'[3]Вхідні дані'!E31</f>
        <v>30</v>
      </c>
      <c r="W7" s="305">
        <f>'[3]Вхідні дані'!E32</f>
        <v>31</v>
      </c>
      <c r="X7" s="307">
        <f>SUM(Q7:W7)</f>
        <v>177</v>
      </c>
      <c r="Y7" s="59"/>
      <c r="Z7" s="59"/>
      <c r="AA7" s="59"/>
      <c r="AB7" s="59"/>
    </row>
    <row r="8" spans="1:45" ht="66.75" thickBot="1">
      <c r="B8" s="308" t="s">
        <v>269</v>
      </c>
      <c r="C8" s="308" t="s">
        <v>269</v>
      </c>
      <c r="D8" s="309" t="s">
        <v>291</v>
      </c>
      <c r="E8" s="298"/>
      <c r="F8" s="298"/>
      <c r="G8" s="298"/>
      <c r="H8" s="298"/>
      <c r="I8" s="298"/>
      <c r="J8" s="298"/>
      <c r="K8" s="51"/>
      <c r="L8" s="51"/>
      <c r="M8" s="51"/>
      <c r="N8" s="51"/>
      <c r="O8" s="51"/>
      <c r="P8" s="304" t="s">
        <v>288</v>
      </c>
      <c r="Q8" s="310">
        <f>'[3]Вхідні дані'!E45</f>
        <v>-3.7</v>
      </c>
      <c r="R8" s="310">
        <f>'[3]Вхідні дані'!E46</f>
        <v>-2.6</v>
      </c>
      <c r="S8" s="310">
        <f>'[3]Вхідні дані'!E47</f>
        <v>1</v>
      </c>
      <c r="T8" s="311">
        <f>'[3]Вхідні дані'!E48</f>
        <v>9</v>
      </c>
      <c r="U8" s="310">
        <f>'[3]Вхідні дані'!E42</f>
        <v>8.1</v>
      </c>
      <c r="V8" s="311">
        <f>'[3]Вхідні дані'!E43</f>
        <v>3</v>
      </c>
      <c r="W8" s="310">
        <f>'[3]Вхідні дані'!E44</f>
        <v>-1.5</v>
      </c>
      <c r="X8" s="312">
        <f>'[3]Вхідні дані'!E41</f>
        <v>-0.1</v>
      </c>
      <c r="Y8" s="313"/>
      <c r="Z8" s="314" t="s">
        <v>382</v>
      </c>
      <c r="AA8" s="314"/>
      <c r="AB8" s="314"/>
      <c r="AC8" s="315"/>
      <c r="AD8" s="315"/>
      <c r="AE8" s="315"/>
      <c r="AF8" s="315"/>
      <c r="AG8" s="315"/>
      <c r="AH8" s="315"/>
      <c r="AI8" s="315"/>
      <c r="AJ8" s="315"/>
      <c r="AK8" s="315"/>
      <c r="AL8" s="59"/>
    </row>
    <row r="9" spans="1:45" ht="18.75" thickBot="1">
      <c r="B9" s="316">
        <f>'[3]Вхідні дані'!$E$39</f>
        <v>-22</v>
      </c>
      <c r="C9" s="316">
        <f>'[3]Вхідні дані'!$E$38</f>
        <v>18</v>
      </c>
      <c r="D9" s="317">
        <f>'[3]Вхідні дані'!$E$49</f>
        <v>24</v>
      </c>
      <c r="E9" s="298"/>
      <c r="F9" s="298"/>
      <c r="G9" s="298"/>
      <c r="H9" s="298"/>
      <c r="I9" s="298"/>
      <c r="J9" s="298"/>
      <c r="K9" s="51"/>
      <c r="L9" s="51"/>
      <c r="M9" s="51"/>
      <c r="N9" s="51"/>
      <c r="O9" s="51"/>
      <c r="P9" s="318" t="s">
        <v>296</v>
      </c>
      <c r="Q9" s="319">
        <f>(($C$9-Q8)/($C$9-$B$9))*$D$9*Q7</f>
        <v>403.62</v>
      </c>
      <c r="R9" s="319">
        <f t="shared" ref="R9:W9" si="0">(($C$9-R8)/($C$9-$B$9))*$D$9*R7</f>
        <v>358.44</v>
      </c>
      <c r="S9" s="319">
        <f t="shared" si="0"/>
        <v>316.2</v>
      </c>
      <c r="T9" s="320">
        <f t="shared" si="0"/>
        <v>54</v>
      </c>
      <c r="U9" s="319">
        <f t="shared" si="0"/>
        <v>89.1</v>
      </c>
      <c r="V9" s="320">
        <f t="shared" si="0"/>
        <v>270</v>
      </c>
      <c r="W9" s="319">
        <f t="shared" si="0"/>
        <v>362.7</v>
      </c>
      <c r="X9" s="321">
        <f>SUM(Q9:W9)</f>
        <v>1854.06</v>
      </c>
      <c r="Y9" s="322"/>
      <c r="Z9" s="59"/>
      <c r="AA9" s="59"/>
      <c r="AB9" s="59"/>
      <c r="AC9" s="315"/>
      <c r="AD9" s="315"/>
      <c r="AE9" s="315"/>
      <c r="AF9" s="315"/>
      <c r="AG9" s="315"/>
      <c r="AH9" s="315"/>
      <c r="AI9" s="315"/>
      <c r="AJ9" s="315"/>
      <c r="AK9" s="315"/>
      <c r="AL9" s="59"/>
    </row>
    <row r="10" spans="1:45" ht="18.75" thickBot="1">
      <c r="B10" s="51"/>
      <c r="C10" s="51"/>
      <c r="D10" s="298"/>
      <c r="E10" s="298"/>
      <c r="F10" s="298"/>
      <c r="G10" s="298"/>
      <c r="H10" s="298"/>
      <c r="I10" s="298"/>
      <c r="J10" s="298"/>
      <c r="K10" s="51"/>
      <c r="L10" s="51"/>
      <c r="M10" s="51"/>
      <c r="N10" s="51"/>
      <c r="O10" s="51"/>
    </row>
    <row r="11" spans="1:45" ht="53.25" customHeight="1" thickBot="1">
      <c r="A11" s="531" t="s">
        <v>234</v>
      </c>
      <c r="B11" s="531" t="s">
        <v>233</v>
      </c>
      <c r="C11" s="531" t="s">
        <v>105</v>
      </c>
      <c r="D11" s="533" t="s">
        <v>106</v>
      </c>
      <c r="E11" s="534"/>
      <c r="F11" s="534"/>
      <c r="G11" s="534"/>
      <c r="H11" s="534"/>
      <c r="I11" s="534"/>
      <c r="J11" s="534"/>
      <c r="K11" s="534"/>
      <c r="L11" s="535"/>
      <c r="M11" s="531" t="s">
        <v>107</v>
      </c>
      <c r="N11" s="536" t="s">
        <v>119</v>
      </c>
      <c r="O11" s="536" t="s">
        <v>118</v>
      </c>
      <c r="P11" s="323" t="s">
        <v>294</v>
      </c>
      <c r="Q11" s="541" t="s">
        <v>263</v>
      </c>
      <c r="R11" s="542"/>
      <c r="S11" s="543"/>
      <c r="T11" s="541" t="s">
        <v>264</v>
      </c>
      <c r="U11" s="542"/>
      <c r="V11" s="543"/>
      <c r="W11" s="541" t="s">
        <v>265</v>
      </c>
      <c r="X11" s="542"/>
      <c r="Y11" s="543"/>
      <c r="Z11" s="538" t="s">
        <v>266</v>
      </c>
      <c r="AA11" s="539"/>
      <c r="AB11" s="540"/>
      <c r="AC11" s="538" t="s">
        <v>260</v>
      </c>
      <c r="AD11" s="539"/>
      <c r="AE11" s="540"/>
      <c r="AF11" s="538" t="s">
        <v>261</v>
      </c>
      <c r="AG11" s="539"/>
      <c r="AH11" s="540"/>
      <c r="AI11" s="538" t="s">
        <v>262</v>
      </c>
      <c r="AJ11" s="539"/>
      <c r="AK11" s="540"/>
      <c r="AL11" s="541" t="s">
        <v>289</v>
      </c>
      <c r="AM11" s="542"/>
      <c r="AN11" s="542"/>
      <c r="AO11" s="543"/>
    </row>
    <row r="12" spans="1:45" ht="48.75" customHeight="1" thickBot="1">
      <c r="A12" s="532"/>
      <c r="B12" s="532"/>
      <c r="C12" s="532"/>
      <c r="D12" s="309" t="s">
        <v>284</v>
      </c>
      <c r="E12" s="309" t="s">
        <v>119</v>
      </c>
      <c r="F12" s="309" t="s">
        <v>118</v>
      </c>
      <c r="G12" s="309" t="s">
        <v>285</v>
      </c>
      <c r="H12" s="309" t="s">
        <v>119</v>
      </c>
      <c r="I12" s="309" t="s">
        <v>118</v>
      </c>
      <c r="J12" s="309" t="s">
        <v>286</v>
      </c>
      <c r="K12" s="308" t="s">
        <v>119</v>
      </c>
      <c r="L12" s="308" t="s">
        <v>118</v>
      </c>
      <c r="M12" s="532"/>
      <c r="N12" s="537"/>
      <c r="O12" s="537"/>
      <c r="P12" s="323" t="s">
        <v>295</v>
      </c>
      <c r="Q12" s="324" t="s">
        <v>284</v>
      </c>
      <c r="R12" s="324" t="s">
        <v>285</v>
      </c>
      <c r="S12" s="324" t="s">
        <v>286</v>
      </c>
      <c r="T12" s="324" t="s">
        <v>284</v>
      </c>
      <c r="U12" s="324" t="s">
        <v>285</v>
      </c>
      <c r="V12" s="324" t="s">
        <v>286</v>
      </c>
      <c r="W12" s="324" t="s">
        <v>284</v>
      </c>
      <c r="X12" s="324" t="s">
        <v>285</v>
      </c>
      <c r="Y12" s="324" t="s">
        <v>286</v>
      </c>
      <c r="Z12" s="324" t="s">
        <v>284</v>
      </c>
      <c r="AA12" s="324" t="s">
        <v>285</v>
      </c>
      <c r="AB12" s="324" t="s">
        <v>286</v>
      </c>
      <c r="AC12" s="324" t="s">
        <v>284</v>
      </c>
      <c r="AD12" s="324" t="s">
        <v>285</v>
      </c>
      <c r="AE12" s="324" t="s">
        <v>286</v>
      </c>
      <c r="AF12" s="324" t="s">
        <v>284</v>
      </c>
      <c r="AG12" s="324" t="s">
        <v>285</v>
      </c>
      <c r="AH12" s="324" t="s">
        <v>286</v>
      </c>
      <c r="AI12" s="324" t="s">
        <v>284</v>
      </c>
      <c r="AJ12" s="324" t="s">
        <v>285</v>
      </c>
      <c r="AK12" s="324" t="s">
        <v>286</v>
      </c>
      <c r="AL12" s="325" t="s">
        <v>303</v>
      </c>
      <c r="AM12" s="324" t="s">
        <v>284</v>
      </c>
      <c r="AN12" s="324" t="s">
        <v>285</v>
      </c>
      <c r="AO12" s="324" t="s">
        <v>286</v>
      </c>
    </row>
    <row r="13" spans="1:45" ht="15.75">
      <c r="A13" s="226">
        <v>1</v>
      </c>
      <c r="B13" s="226" t="s">
        <v>364</v>
      </c>
      <c r="C13" s="227" t="s">
        <v>108</v>
      </c>
      <c r="D13" s="228"/>
      <c r="E13" s="229"/>
      <c r="F13" s="230"/>
      <c r="G13" s="231">
        <v>0.16700000000000001</v>
      </c>
      <c r="H13" s="230">
        <f>G13</f>
        <v>0.16700000000000001</v>
      </c>
      <c r="I13" s="230"/>
      <c r="J13" s="228"/>
      <c r="K13" s="230"/>
      <c r="L13" s="230"/>
      <c r="M13" s="228">
        <f>D13+G13+J13</f>
        <v>0.16700000000000001</v>
      </c>
      <c r="N13" s="230">
        <f>E13+H13+K13</f>
        <v>0.16700000000000001</v>
      </c>
      <c r="O13" s="230">
        <f>F13+I13+L13</f>
        <v>0</v>
      </c>
      <c r="P13" s="326"/>
      <c r="Q13" s="327">
        <f t="shared" ref="Q13:Q19" si="1">D13*$Q$9</f>
        <v>0</v>
      </c>
      <c r="R13" s="327">
        <v>47.405000000000001</v>
      </c>
      <c r="S13" s="327">
        <f>J13*$Q$9</f>
        <v>0</v>
      </c>
      <c r="T13" s="327">
        <f t="shared" ref="T13:T19" si="2">D13*$R$9</f>
        <v>0</v>
      </c>
      <c r="U13" s="327">
        <v>42.795000000000002</v>
      </c>
      <c r="V13" s="327">
        <f>J13*$R$9</f>
        <v>0</v>
      </c>
      <c r="W13" s="327">
        <f t="shared" ref="W13:W19" si="3">D13*$S$9</f>
        <v>0</v>
      </c>
      <c r="X13" s="327">
        <v>40.805</v>
      </c>
      <c r="Y13" s="327">
        <f>J13*$S$9</f>
        <v>0</v>
      </c>
      <c r="Z13" s="327">
        <f t="shared" ref="Z13:Z19" si="4">D13*$T$9</f>
        <v>0</v>
      </c>
      <c r="AA13" s="327">
        <f t="shared" ref="AA13:AA19" si="5">G13*$T$9</f>
        <v>9.0180000000000007</v>
      </c>
      <c r="AB13" s="327">
        <f>J13*$T$9</f>
        <v>0</v>
      </c>
      <c r="AC13" s="327">
        <f t="shared" ref="AC13:AC19" si="6">D13*$U$9</f>
        <v>0</v>
      </c>
      <c r="AD13" s="327">
        <f t="shared" ref="AD13:AD19" si="7">G13*$U$9</f>
        <v>14.88</v>
      </c>
      <c r="AE13" s="327">
        <f>J13*$U$9</f>
        <v>0</v>
      </c>
      <c r="AF13" s="327">
        <f t="shared" ref="AF13:AF19" si="8">D13*$V$9</f>
        <v>0</v>
      </c>
      <c r="AG13" s="327">
        <v>25.09</v>
      </c>
      <c r="AH13" s="327">
        <f>J13*$V$9</f>
        <v>0</v>
      </c>
      <c r="AI13" s="327">
        <f t="shared" ref="AI13:AI19" si="9">D13*$W$9</f>
        <v>0</v>
      </c>
      <c r="AJ13" s="327">
        <v>40.570999999999998</v>
      </c>
      <c r="AK13" s="327">
        <f>J13*$W$9</f>
        <v>0</v>
      </c>
      <c r="AL13" s="328">
        <f>AM13+AN13+AO13</f>
        <v>220.56399999999999</v>
      </c>
      <c r="AM13" s="327">
        <f>Q13+T13+W13+Z13+AC13+AF13+AI13</f>
        <v>0</v>
      </c>
      <c r="AN13" s="329">
        <f>R13+U13+X13+AA13+AD13+AG13+AJ13</f>
        <v>220.56399999999999</v>
      </c>
      <c r="AO13" s="327">
        <f>S13+V13+Y13+AB13+AE13+AH13+AK13</f>
        <v>0</v>
      </c>
      <c r="AP13" s="183">
        <f t="shared" ref="AP13:AP19" si="10">$X$9*(D13+G13+J13)-AL13</f>
        <v>89.06</v>
      </c>
    </row>
    <row r="14" spans="1:45" ht="15.75">
      <c r="A14" s="227">
        <v>2</v>
      </c>
      <c r="B14" s="227" t="s">
        <v>365</v>
      </c>
      <c r="C14" s="227" t="s">
        <v>109</v>
      </c>
      <c r="D14" s="232"/>
      <c r="E14" s="233"/>
      <c r="F14" s="234"/>
      <c r="G14" s="235">
        <v>2.76E-2</v>
      </c>
      <c r="H14" s="234">
        <v>2.76E-2</v>
      </c>
      <c r="I14" s="178"/>
      <c r="J14" s="232"/>
      <c r="K14" s="234"/>
      <c r="L14" s="234"/>
      <c r="M14" s="526">
        <f>H14+H15</f>
        <v>6.2E-2</v>
      </c>
      <c r="N14" s="527">
        <f>M14</f>
        <v>6.2E-2</v>
      </c>
      <c r="O14" s="224"/>
      <c r="P14" s="330"/>
      <c r="Q14" s="327">
        <f t="shared" si="1"/>
        <v>0</v>
      </c>
      <c r="R14" s="327">
        <f t="shared" ref="R14:R19" si="11">G14*$Q$9</f>
        <v>11.14</v>
      </c>
      <c r="S14" s="327">
        <f t="shared" ref="S14:S19" si="12">J14*$Q$9</f>
        <v>0</v>
      </c>
      <c r="T14" s="327">
        <f t="shared" si="2"/>
        <v>0</v>
      </c>
      <c r="U14" s="327">
        <f t="shared" ref="U14:U19" si="13">G14*$R$9</f>
        <v>9.8930000000000007</v>
      </c>
      <c r="V14" s="327">
        <f t="shared" ref="V14:V19" si="14">J14*$R$9</f>
        <v>0</v>
      </c>
      <c r="W14" s="327">
        <f t="shared" si="3"/>
        <v>0</v>
      </c>
      <c r="X14" s="327">
        <f t="shared" ref="X14:X19" si="15">G14*$S$9</f>
        <v>8.7270000000000003</v>
      </c>
      <c r="Y14" s="327">
        <f t="shared" ref="Y14:Y19" si="16">J14*$S$9</f>
        <v>0</v>
      </c>
      <c r="Z14" s="327">
        <f t="shared" si="4"/>
        <v>0</v>
      </c>
      <c r="AA14" s="327">
        <f t="shared" si="5"/>
        <v>1.49</v>
      </c>
      <c r="AB14" s="327">
        <f t="shared" ref="AB14:AB19" si="17">J14*$T$9</f>
        <v>0</v>
      </c>
      <c r="AC14" s="327">
        <f t="shared" si="6"/>
        <v>0</v>
      </c>
      <c r="AD14" s="327">
        <f t="shared" si="7"/>
        <v>2.4590000000000001</v>
      </c>
      <c r="AE14" s="327">
        <f t="shared" ref="AE14:AE19" si="18">J14*$U$9</f>
        <v>0</v>
      </c>
      <c r="AF14" s="327">
        <f t="shared" si="8"/>
        <v>0</v>
      </c>
      <c r="AG14" s="327">
        <f t="shared" ref="AG14:AG19" si="19">G14*$V$9</f>
        <v>7.452</v>
      </c>
      <c r="AH14" s="327">
        <f t="shared" ref="AH14:AH19" si="20">J14*$V$9</f>
        <v>0</v>
      </c>
      <c r="AI14" s="327">
        <f t="shared" si="9"/>
        <v>0</v>
      </c>
      <c r="AJ14" s="327">
        <f t="shared" ref="AJ14:AJ19" si="21">G14*$W$9</f>
        <v>10.010999999999999</v>
      </c>
      <c r="AK14" s="327">
        <f t="shared" ref="AK14:AK19" si="22">J14*$W$9</f>
        <v>0</v>
      </c>
      <c r="AL14" s="328">
        <f t="shared" ref="AL14:AL19" si="23">AM14+AN14+AO14</f>
        <v>51.171999999999997</v>
      </c>
      <c r="AM14" s="327">
        <f t="shared" ref="AM14:AO22" si="24">Q14+T14+W14+Z14+AC14+AF14+AI14</f>
        <v>0</v>
      </c>
      <c r="AN14" s="329">
        <f t="shared" si="24"/>
        <v>51.171999999999997</v>
      </c>
      <c r="AO14" s="327">
        <f t="shared" si="24"/>
        <v>0</v>
      </c>
      <c r="AP14" s="183">
        <f t="shared" si="10"/>
        <v>0</v>
      </c>
      <c r="AS14" s="184" t="e">
        <f>AN14+AN15+AN16+#REF!+AN24+AN25+AN26+#REF!+#REF!+AN35+AN47+AN48+AN49+AN50+AN56+AN57+AN58+AN60+AN61+AN62+AN63+AN64+AN65+#REF!+#REF!</f>
        <v>#REF!</v>
      </c>
    </row>
    <row r="15" spans="1:45" ht="15.75">
      <c r="A15" s="227"/>
      <c r="B15" s="227"/>
      <c r="C15" s="227" t="s">
        <v>110</v>
      </c>
      <c r="D15" s="232"/>
      <c r="E15" s="233"/>
      <c r="F15" s="234"/>
      <c r="G15" s="235">
        <v>3.44E-2</v>
      </c>
      <c r="H15" s="234">
        <v>3.44E-2</v>
      </c>
      <c r="I15" s="178"/>
      <c r="J15" s="232"/>
      <c r="K15" s="234"/>
      <c r="L15" s="234"/>
      <c r="M15" s="526"/>
      <c r="N15" s="527"/>
      <c r="O15" s="224"/>
      <c r="P15" s="330"/>
      <c r="Q15" s="327">
        <f t="shared" si="1"/>
        <v>0</v>
      </c>
      <c r="R15" s="327">
        <f t="shared" si="11"/>
        <v>13.885</v>
      </c>
      <c r="S15" s="327">
        <f t="shared" si="12"/>
        <v>0</v>
      </c>
      <c r="T15" s="327">
        <f t="shared" si="2"/>
        <v>0</v>
      </c>
      <c r="U15" s="327">
        <f t="shared" si="13"/>
        <v>12.33</v>
      </c>
      <c r="V15" s="327">
        <f t="shared" si="14"/>
        <v>0</v>
      </c>
      <c r="W15" s="327">
        <f t="shared" si="3"/>
        <v>0</v>
      </c>
      <c r="X15" s="327">
        <f t="shared" si="15"/>
        <v>10.877000000000001</v>
      </c>
      <c r="Y15" s="327">
        <f t="shared" si="16"/>
        <v>0</v>
      </c>
      <c r="Z15" s="327">
        <f t="shared" si="4"/>
        <v>0</v>
      </c>
      <c r="AA15" s="327">
        <f t="shared" si="5"/>
        <v>1.8580000000000001</v>
      </c>
      <c r="AB15" s="327">
        <f t="shared" si="17"/>
        <v>0</v>
      </c>
      <c r="AC15" s="327">
        <f t="shared" si="6"/>
        <v>0</v>
      </c>
      <c r="AD15" s="327">
        <f t="shared" si="7"/>
        <v>3.0649999999999999</v>
      </c>
      <c r="AE15" s="327">
        <f t="shared" si="18"/>
        <v>0</v>
      </c>
      <c r="AF15" s="327">
        <f t="shared" si="8"/>
        <v>0</v>
      </c>
      <c r="AG15" s="327">
        <f t="shared" si="19"/>
        <v>9.2880000000000003</v>
      </c>
      <c r="AH15" s="327">
        <f t="shared" si="20"/>
        <v>0</v>
      </c>
      <c r="AI15" s="327">
        <f t="shared" si="9"/>
        <v>0</v>
      </c>
      <c r="AJ15" s="327">
        <f t="shared" si="21"/>
        <v>12.477</v>
      </c>
      <c r="AK15" s="327">
        <f t="shared" si="22"/>
        <v>0</v>
      </c>
      <c r="AL15" s="328">
        <f t="shared" si="23"/>
        <v>63.78</v>
      </c>
      <c r="AM15" s="327">
        <f t="shared" si="24"/>
        <v>0</v>
      </c>
      <c r="AN15" s="329">
        <f t="shared" si="24"/>
        <v>63.78</v>
      </c>
      <c r="AO15" s="327">
        <f t="shared" si="24"/>
        <v>0</v>
      </c>
      <c r="AP15" s="183">
        <f t="shared" si="10"/>
        <v>0</v>
      </c>
    </row>
    <row r="16" spans="1:45" ht="15.75">
      <c r="A16" s="227">
        <v>3</v>
      </c>
      <c r="B16" s="227" t="s">
        <v>180</v>
      </c>
      <c r="C16" s="227" t="s">
        <v>111</v>
      </c>
      <c r="D16" s="232"/>
      <c r="E16" s="233"/>
      <c r="F16" s="234"/>
      <c r="G16" s="235">
        <v>0.14799999999999999</v>
      </c>
      <c r="H16" s="234">
        <f>G16</f>
        <v>0.14799999999999999</v>
      </c>
      <c r="I16" s="234"/>
      <c r="J16" s="232"/>
      <c r="K16" s="234"/>
      <c r="L16" s="234"/>
      <c r="M16" s="232">
        <f t="shared" ref="M16:O22" si="25">D16+G16+J16</f>
        <v>0.14799999999999999</v>
      </c>
      <c r="N16" s="234">
        <f t="shared" si="25"/>
        <v>0.14799999999999999</v>
      </c>
      <c r="O16" s="234">
        <f t="shared" si="25"/>
        <v>0</v>
      </c>
      <c r="P16" s="330"/>
      <c r="Q16" s="327">
        <f t="shared" si="1"/>
        <v>0</v>
      </c>
      <c r="R16" s="327">
        <f t="shared" si="11"/>
        <v>59.735999999999997</v>
      </c>
      <c r="S16" s="327">
        <f t="shared" si="12"/>
        <v>0</v>
      </c>
      <c r="T16" s="327">
        <f t="shared" si="2"/>
        <v>0</v>
      </c>
      <c r="U16" s="327">
        <f t="shared" si="13"/>
        <v>53.048999999999999</v>
      </c>
      <c r="V16" s="327">
        <f t="shared" si="14"/>
        <v>0</v>
      </c>
      <c r="W16" s="327">
        <f t="shared" si="3"/>
        <v>0</v>
      </c>
      <c r="X16" s="327">
        <f t="shared" si="15"/>
        <v>46.798000000000002</v>
      </c>
      <c r="Y16" s="327">
        <f t="shared" si="16"/>
        <v>0</v>
      </c>
      <c r="Z16" s="327">
        <f t="shared" si="4"/>
        <v>0</v>
      </c>
      <c r="AA16" s="327">
        <f t="shared" si="5"/>
        <v>7.992</v>
      </c>
      <c r="AB16" s="327">
        <f t="shared" si="17"/>
        <v>0</v>
      </c>
      <c r="AC16" s="327">
        <f t="shared" si="6"/>
        <v>0</v>
      </c>
      <c r="AD16" s="327">
        <f t="shared" si="7"/>
        <v>13.186999999999999</v>
      </c>
      <c r="AE16" s="327">
        <f t="shared" si="18"/>
        <v>0</v>
      </c>
      <c r="AF16" s="327">
        <f t="shared" si="8"/>
        <v>0</v>
      </c>
      <c r="AG16" s="327">
        <f t="shared" si="19"/>
        <v>39.96</v>
      </c>
      <c r="AH16" s="327">
        <f t="shared" si="20"/>
        <v>0</v>
      </c>
      <c r="AI16" s="327">
        <f t="shared" si="9"/>
        <v>0</v>
      </c>
      <c r="AJ16" s="327">
        <f t="shared" si="21"/>
        <v>53.68</v>
      </c>
      <c r="AK16" s="327">
        <f t="shared" si="22"/>
        <v>0</v>
      </c>
      <c r="AL16" s="328">
        <f t="shared" si="23"/>
        <v>274.40199999999999</v>
      </c>
      <c r="AM16" s="327">
        <f t="shared" si="24"/>
        <v>0</v>
      </c>
      <c r="AN16" s="329">
        <f t="shared" si="24"/>
        <v>274.40199999999999</v>
      </c>
      <c r="AO16" s="327">
        <f t="shared" si="24"/>
        <v>0</v>
      </c>
      <c r="AP16" s="183">
        <f t="shared" si="10"/>
        <v>0</v>
      </c>
      <c r="AS16" s="184"/>
    </row>
    <row r="17" spans="1:45" s="2" customFormat="1" ht="15.75">
      <c r="A17" s="236">
        <v>4</v>
      </c>
      <c r="B17" s="236" t="s">
        <v>181</v>
      </c>
      <c r="C17" s="236" t="s">
        <v>112</v>
      </c>
      <c r="D17" s="237"/>
      <c r="E17" s="238"/>
      <c r="F17" s="238"/>
      <c r="G17" s="239"/>
      <c r="H17" s="240"/>
      <c r="I17" s="240"/>
      <c r="J17" s="237">
        <v>3.5000000000000003E-2</v>
      </c>
      <c r="K17" s="240"/>
      <c r="L17" s="240">
        <f>J17</f>
        <v>3.5000000000000003E-2</v>
      </c>
      <c r="M17" s="237">
        <f t="shared" si="25"/>
        <v>3.5000000000000003E-2</v>
      </c>
      <c r="N17" s="240">
        <f t="shared" si="25"/>
        <v>0</v>
      </c>
      <c r="O17" s="240">
        <f t="shared" si="25"/>
        <v>3.5000000000000003E-2</v>
      </c>
      <c r="P17" s="331"/>
      <c r="Q17" s="328">
        <f t="shared" si="1"/>
        <v>0</v>
      </c>
      <c r="R17" s="328">
        <f t="shared" si="11"/>
        <v>0</v>
      </c>
      <c r="S17" s="328">
        <f t="shared" si="12"/>
        <v>14.127000000000001</v>
      </c>
      <c r="T17" s="328">
        <f t="shared" si="2"/>
        <v>0</v>
      </c>
      <c r="U17" s="328">
        <f t="shared" si="13"/>
        <v>0</v>
      </c>
      <c r="V17" s="328">
        <f t="shared" si="14"/>
        <v>12.545</v>
      </c>
      <c r="W17" s="328">
        <f t="shared" si="3"/>
        <v>0</v>
      </c>
      <c r="X17" s="328">
        <f t="shared" si="15"/>
        <v>0</v>
      </c>
      <c r="Y17" s="328">
        <f t="shared" si="16"/>
        <v>11.067</v>
      </c>
      <c r="Z17" s="332">
        <f t="shared" si="4"/>
        <v>0</v>
      </c>
      <c r="AA17" s="332">
        <f t="shared" si="5"/>
        <v>0</v>
      </c>
      <c r="AB17" s="332">
        <f t="shared" si="17"/>
        <v>1.89</v>
      </c>
      <c r="AC17" s="332">
        <f t="shared" si="6"/>
        <v>0</v>
      </c>
      <c r="AD17" s="332">
        <f t="shared" si="7"/>
        <v>0</v>
      </c>
      <c r="AE17" s="332">
        <f t="shared" si="18"/>
        <v>3.1190000000000002</v>
      </c>
      <c r="AF17" s="332">
        <f t="shared" si="8"/>
        <v>0</v>
      </c>
      <c r="AG17" s="332">
        <f t="shared" si="19"/>
        <v>0</v>
      </c>
      <c r="AH17" s="332">
        <f t="shared" si="20"/>
        <v>9.4499999999999993</v>
      </c>
      <c r="AI17" s="332">
        <f t="shared" si="9"/>
        <v>0</v>
      </c>
      <c r="AJ17" s="332">
        <f t="shared" si="21"/>
        <v>0</v>
      </c>
      <c r="AK17" s="332">
        <f t="shared" si="22"/>
        <v>12.695</v>
      </c>
      <c r="AL17" s="328">
        <f t="shared" si="23"/>
        <v>64.893000000000001</v>
      </c>
      <c r="AM17" s="332">
        <f t="shared" si="24"/>
        <v>0</v>
      </c>
      <c r="AN17" s="333">
        <f t="shared" si="24"/>
        <v>0</v>
      </c>
      <c r="AO17" s="332">
        <f t="shared" si="24"/>
        <v>64.893000000000001</v>
      </c>
      <c r="AP17" s="183">
        <f t="shared" si="10"/>
        <v>0</v>
      </c>
    </row>
    <row r="18" spans="1:45" ht="15.75">
      <c r="A18" s="227">
        <v>5</v>
      </c>
      <c r="B18" s="227" t="s">
        <v>366</v>
      </c>
      <c r="C18" s="227" t="s">
        <v>113</v>
      </c>
      <c r="D18" s="232"/>
      <c r="E18" s="233"/>
      <c r="F18" s="234"/>
      <c r="G18" s="235">
        <v>0.186</v>
      </c>
      <c r="H18" s="234">
        <f>G18</f>
        <v>0.186</v>
      </c>
      <c r="I18" s="234"/>
      <c r="J18" s="232"/>
      <c r="K18" s="234"/>
      <c r="L18" s="234"/>
      <c r="M18" s="232">
        <f t="shared" si="25"/>
        <v>0.186</v>
      </c>
      <c r="N18" s="234">
        <f t="shared" si="25"/>
        <v>0.186</v>
      </c>
      <c r="O18" s="234">
        <f t="shared" si="25"/>
        <v>0</v>
      </c>
      <c r="P18" s="330"/>
      <c r="Q18" s="327">
        <f t="shared" si="1"/>
        <v>0</v>
      </c>
      <c r="R18" s="327">
        <f t="shared" si="11"/>
        <v>75.072999999999993</v>
      </c>
      <c r="S18" s="327">
        <f t="shared" si="12"/>
        <v>0</v>
      </c>
      <c r="T18" s="327">
        <f t="shared" si="2"/>
        <v>0</v>
      </c>
      <c r="U18" s="327">
        <f t="shared" si="13"/>
        <v>66.67</v>
      </c>
      <c r="V18" s="327">
        <f t="shared" si="14"/>
        <v>0</v>
      </c>
      <c r="W18" s="327">
        <f t="shared" si="3"/>
        <v>0</v>
      </c>
      <c r="X18" s="327">
        <f t="shared" si="15"/>
        <v>58.813000000000002</v>
      </c>
      <c r="Y18" s="327">
        <f t="shared" si="16"/>
        <v>0</v>
      </c>
      <c r="Z18" s="327">
        <f t="shared" si="4"/>
        <v>0</v>
      </c>
      <c r="AA18" s="327">
        <f t="shared" si="5"/>
        <v>10.044</v>
      </c>
      <c r="AB18" s="327">
        <f t="shared" si="17"/>
        <v>0</v>
      </c>
      <c r="AC18" s="327">
        <f t="shared" si="6"/>
        <v>0</v>
      </c>
      <c r="AD18" s="327">
        <f t="shared" si="7"/>
        <v>16.573</v>
      </c>
      <c r="AE18" s="327">
        <f t="shared" si="18"/>
        <v>0</v>
      </c>
      <c r="AF18" s="327">
        <f t="shared" si="8"/>
        <v>0</v>
      </c>
      <c r="AG18" s="327">
        <f t="shared" si="19"/>
        <v>50.22</v>
      </c>
      <c r="AH18" s="327">
        <f t="shared" si="20"/>
        <v>0</v>
      </c>
      <c r="AI18" s="327">
        <f t="shared" si="9"/>
        <v>0</v>
      </c>
      <c r="AJ18" s="327">
        <f t="shared" si="21"/>
        <v>67.462000000000003</v>
      </c>
      <c r="AK18" s="327">
        <f t="shared" si="22"/>
        <v>0</v>
      </c>
      <c r="AL18" s="328">
        <f t="shared" si="23"/>
        <v>344.85500000000002</v>
      </c>
      <c r="AM18" s="327">
        <f t="shared" si="24"/>
        <v>0</v>
      </c>
      <c r="AN18" s="329">
        <f t="shared" si="24"/>
        <v>344.85500000000002</v>
      </c>
      <c r="AO18" s="327">
        <f t="shared" si="24"/>
        <v>0</v>
      </c>
      <c r="AP18" s="183">
        <f t="shared" si="10"/>
        <v>0</v>
      </c>
      <c r="AS18" s="184"/>
    </row>
    <row r="19" spans="1:45" ht="15.75">
      <c r="A19" s="227">
        <v>6</v>
      </c>
      <c r="B19" s="227" t="s">
        <v>367</v>
      </c>
      <c r="C19" s="227" t="s">
        <v>114</v>
      </c>
      <c r="D19" s="232"/>
      <c r="E19" s="233"/>
      <c r="F19" s="234"/>
      <c r="G19" s="235">
        <v>0.08</v>
      </c>
      <c r="H19" s="234">
        <f>G19</f>
        <v>0.08</v>
      </c>
      <c r="I19" s="234"/>
      <c r="J19" s="232"/>
      <c r="K19" s="234"/>
      <c r="L19" s="234"/>
      <c r="M19" s="232">
        <f t="shared" si="25"/>
        <v>0.08</v>
      </c>
      <c r="N19" s="234">
        <f t="shared" si="25"/>
        <v>0.08</v>
      </c>
      <c r="O19" s="234">
        <f t="shared" si="25"/>
        <v>0</v>
      </c>
      <c r="P19" s="330"/>
      <c r="Q19" s="327">
        <f t="shared" si="1"/>
        <v>0</v>
      </c>
      <c r="R19" s="327">
        <f t="shared" si="11"/>
        <v>32.29</v>
      </c>
      <c r="S19" s="327">
        <f t="shared" si="12"/>
        <v>0</v>
      </c>
      <c r="T19" s="327">
        <f t="shared" si="2"/>
        <v>0</v>
      </c>
      <c r="U19" s="327">
        <f t="shared" si="13"/>
        <v>28.675000000000001</v>
      </c>
      <c r="V19" s="327">
        <f t="shared" si="14"/>
        <v>0</v>
      </c>
      <c r="W19" s="327">
        <f t="shared" si="3"/>
        <v>0</v>
      </c>
      <c r="X19" s="327">
        <f t="shared" si="15"/>
        <v>25.295999999999999</v>
      </c>
      <c r="Y19" s="327">
        <f t="shared" si="16"/>
        <v>0</v>
      </c>
      <c r="Z19" s="327">
        <f t="shared" si="4"/>
        <v>0</v>
      </c>
      <c r="AA19" s="327">
        <f t="shared" si="5"/>
        <v>4.32</v>
      </c>
      <c r="AB19" s="327">
        <f t="shared" si="17"/>
        <v>0</v>
      </c>
      <c r="AC19" s="327">
        <f t="shared" si="6"/>
        <v>0</v>
      </c>
      <c r="AD19" s="327">
        <f t="shared" si="7"/>
        <v>7.1280000000000001</v>
      </c>
      <c r="AE19" s="327">
        <f t="shared" si="18"/>
        <v>0</v>
      </c>
      <c r="AF19" s="327">
        <f t="shared" si="8"/>
        <v>0</v>
      </c>
      <c r="AG19" s="327">
        <f t="shared" si="19"/>
        <v>21.6</v>
      </c>
      <c r="AH19" s="327">
        <f t="shared" si="20"/>
        <v>0</v>
      </c>
      <c r="AI19" s="327">
        <f t="shared" si="9"/>
        <v>0</v>
      </c>
      <c r="AJ19" s="327">
        <f t="shared" si="21"/>
        <v>29.015999999999998</v>
      </c>
      <c r="AK19" s="327">
        <f t="shared" si="22"/>
        <v>0</v>
      </c>
      <c r="AL19" s="328">
        <f t="shared" si="23"/>
        <v>148.32499999999999</v>
      </c>
      <c r="AM19" s="327">
        <f t="shared" si="24"/>
        <v>0</v>
      </c>
      <c r="AN19" s="329">
        <f t="shared" si="24"/>
        <v>148.32499999999999</v>
      </c>
      <c r="AO19" s="327">
        <f t="shared" si="24"/>
        <v>0</v>
      </c>
      <c r="AP19" s="183">
        <f t="shared" si="10"/>
        <v>0</v>
      </c>
    </row>
    <row r="20" spans="1:45" ht="15.75">
      <c r="A20" s="226">
        <v>9</v>
      </c>
      <c r="B20" s="242" t="s">
        <v>368</v>
      </c>
      <c r="C20" s="243"/>
      <c r="D20" s="239"/>
      <c r="E20" s="244"/>
      <c r="F20" s="245"/>
      <c r="G20" s="239"/>
      <c r="H20" s="245"/>
      <c r="I20" s="245"/>
      <c r="J20" s="239"/>
      <c r="K20" s="240"/>
      <c r="L20" s="240"/>
      <c r="M20" s="240"/>
      <c r="N20" s="240"/>
      <c r="O20" s="240"/>
      <c r="P20" s="334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28"/>
      <c r="AM20" s="332"/>
      <c r="AN20" s="333"/>
      <c r="AO20" s="332"/>
    </row>
    <row r="21" spans="1:45" ht="30.75">
      <c r="A21" s="226"/>
      <c r="B21" s="242"/>
      <c r="C21" s="243" t="s">
        <v>115</v>
      </c>
      <c r="D21" s="239"/>
      <c r="E21" s="244"/>
      <c r="F21" s="245"/>
      <c r="G21" s="239">
        <v>6.0999999999999999E-2</v>
      </c>
      <c r="H21" s="245">
        <v>6.0999999999999999E-2</v>
      </c>
      <c r="I21" s="245"/>
      <c r="J21" s="239"/>
      <c r="K21" s="240"/>
      <c r="L21" s="240"/>
      <c r="M21" s="240">
        <f t="shared" si="25"/>
        <v>6.0999999999999999E-2</v>
      </c>
      <c r="N21" s="240">
        <f t="shared" si="25"/>
        <v>6.0999999999999999E-2</v>
      </c>
      <c r="O21" s="240">
        <f t="shared" si="25"/>
        <v>0</v>
      </c>
      <c r="P21" s="334"/>
      <c r="Q21" s="332">
        <f>D21*$Q$9</f>
        <v>0</v>
      </c>
      <c r="R21" s="332">
        <f>G21*$Q$9</f>
        <v>24.620999999999999</v>
      </c>
      <c r="S21" s="332">
        <f>J21*$Q$9</f>
        <v>0</v>
      </c>
      <c r="T21" s="332">
        <f>D21*$R$9</f>
        <v>0</v>
      </c>
      <c r="U21" s="332">
        <f>G21*$R$9</f>
        <v>21.864999999999998</v>
      </c>
      <c r="V21" s="332">
        <f>J21*$R$9</f>
        <v>0</v>
      </c>
      <c r="W21" s="332">
        <f>D21*$S$9</f>
        <v>0</v>
      </c>
      <c r="X21" s="332">
        <f>G21*$S$9</f>
        <v>19.288</v>
      </c>
      <c r="Y21" s="332">
        <f>J21*$S$9</f>
        <v>0</v>
      </c>
      <c r="Z21" s="332">
        <f>D21*$T$9</f>
        <v>0</v>
      </c>
      <c r="AA21" s="332">
        <f>G21*$T$9</f>
        <v>3.294</v>
      </c>
      <c r="AB21" s="332">
        <f>J21*$T$9</f>
        <v>0</v>
      </c>
      <c r="AC21" s="332">
        <f>D21*$U$9</f>
        <v>0</v>
      </c>
      <c r="AD21" s="332">
        <f>G21*$U$9</f>
        <v>5.4349999999999996</v>
      </c>
      <c r="AE21" s="332">
        <f>J21*$U$9</f>
        <v>0</v>
      </c>
      <c r="AF21" s="332">
        <f>D21*$V$9</f>
        <v>0</v>
      </c>
      <c r="AG21" s="332">
        <f>G21*$V$9</f>
        <v>16.47</v>
      </c>
      <c r="AH21" s="332">
        <f>J21*$V$9</f>
        <v>0</v>
      </c>
      <c r="AI21" s="332">
        <f>D21*$W$9</f>
        <v>0</v>
      </c>
      <c r="AJ21" s="332">
        <f>G21*$W$9</f>
        <v>22.125</v>
      </c>
      <c r="AK21" s="332">
        <f>J21*$W$9</f>
        <v>0</v>
      </c>
      <c r="AL21" s="328">
        <f>AM21+AN21+AO21</f>
        <v>113.098</v>
      </c>
      <c r="AM21" s="332">
        <f t="shared" si="24"/>
        <v>0</v>
      </c>
      <c r="AN21" s="333">
        <f t="shared" si="24"/>
        <v>113.098</v>
      </c>
      <c r="AO21" s="332">
        <f t="shared" si="24"/>
        <v>0</v>
      </c>
    </row>
    <row r="22" spans="1:45" ht="16.5" thickBot="1">
      <c r="A22" s="226"/>
      <c r="B22" s="242"/>
      <c r="C22" s="243" t="s">
        <v>116</v>
      </c>
      <c r="D22" s="239"/>
      <c r="E22" s="244"/>
      <c r="F22" s="245"/>
      <c r="G22" s="239">
        <v>5.0299999999999997E-2</v>
      </c>
      <c r="H22" s="245">
        <f>G22</f>
        <v>5.0299999999999997E-2</v>
      </c>
      <c r="I22" s="245"/>
      <c r="J22" s="239"/>
      <c r="K22" s="240"/>
      <c r="L22" s="240"/>
      <c r="M22" s="240">
        <f t="shared" si="25"/>
        <v>5.0299999999999997E-2</v>
      </c>
      <c r="N22" s="240">
        <f t="shared" si="25"/>
        <v>5.0299999999999997E-2</v>
      </c>
      <c r="O22" s="240">
        <f t="shared" si="25"/>
        <v>0</v>
      </c>
      <c r="P22" s="334"/>
      <c r="Q22" s="332">
        <f>D22*$Q$9</f>
        <v>0</v>
      </c>
      <c r="R22" s="332">
        <f>G22*$Q$9</f>
        <v>20.302</v>
      </c>
      <c r="S22" s="332">
        <f>J22*$Q$9</f>
        <v>0</v>
      </c>
      <c r="T22" s="332">
        <f>D22*$R$9</f>
        <v>0</v>
      </c>
      <c r="U22" s="332">
        <f>G22*$R$9</f>
        <v>18.03</v>
      </c>
      <c r="V22" s="332">
        <f>J22*$R$9</f>
        <v>0</v>
      </c>
      <c r="W22" s="332">
        <f>D22*$S$9</f>
        <v>0</v>
      </c>
      <c r="X22" s="332">
        <f>G22*$S$9</f>
        <v>15.904999999999999</v>
      </c>
      <c r="Y22" s="332">
        <f>J22*$S$9</f>
        <v>0</v>
      </c>
      <c r="Z22" s="332">
        <f>D22*$T$9</f>
        <v>0</v>
      </c>
      <c r="AA22" s="332">
        <f>G22*$T$9</f>
        <v>2.7160000000000002</v>
      </c>
      <c r="AB22" s="332">
        <f>J22*$T$9</f>
        <v>0</v>
      </c>
      <c r="AC22" s="332">
        <f>D22*$U$9</f>
        <v>0</v>
      </c>
      <c r="AD22" s="332">
        <f>G22*$U$9</f>
        <v>4.4820000000000002</v>
      </c>
      <c r="AE22" s="332">
        <f>J22*$U$9</f>
        <v>0</v>
      </c>
      <c r="AF22" s="332">
        <f>D22*$V$9</f>
        <v>0</v>
      </c>
      <c r="AG22" s="332">
        <f>G22*$V$9</f>
        <v>13.581</v>
      </c>
      <c r="AH22" s="332">
        <f>J22*$V$9</f>
        <v>0</v>
      </c>
      <c r="AI22" s="332">
        <f>D22*$W$9</f>
        <v>0</v>
      </c>
      <c r="AJ22" s="332">
        <f>G22*$W$9</f>
        <v>18.244</v>
      </c>
      <c r="AK22" s="332">
        <f>J22*$W$9</f>
        <v>0</v>
      </c>
      <c r="AL22" s="328">
        <f>AM22+AN22+AO22</f>
        <v>93.26</v>
      </c>
      <c r="AM22" s="332">
        <f t="shared" si="24"/>
        <v>0</v>
      </c>
      <c r="AN22" s="333">
        <f t="shared" si="24"/>
        <v>93.26</v>
      </c>
      <c r="AO22" s="332">
        <f t="shared" si="24"/>
        <v>0</v>
      </c>
      <c r="AR22" s="181" t="s">
        <v>377</v>
      </c>
      <c r="AS22" s="185">
        <f>AN22+AN36+AN37</f>
        <v>388.24099999999999</v>
      </c>
    </row>
    <row r="23" spans="1:45" ht="16.5" thickBot="1">
      <c r="A23" s="246"/>
      <c r="B23" s="247" t="s">
        <v>16</v>
      </c>
      <c r="C23" s="248"/>
      <c r="D23" s="9">
        <f>SUM(D20:D22)</f>
        <v>0</v>
      </c>
      <c r="E23" s="9"/>
      <c r="F23" s="9">
        <f>SUM(F20:F22)</f>
        <v>0</v>
      </c>
      <c r="G23" s="9">
        <f>SUM(G21:G22)</f>
        <v>0.1113</v>
      </c>
      <c r="H23" s="9">
        <f>SUM(H21:H22)</f>
        <v>0.1113</v>
      </c>
      <c r="I23" s="9">
        <f>SUM(I20:I22)</f>
        <v>0</v>
      </c>
      <c r="J23" s="9"/>
      <c r="K23" s="7"/>
      <c r="L23" s="7"/>
      <c r="M23" s="9">
        <f>SUM(M20:M22)</f>
        <v>0.1113</v>
      </c>
      <c r="N23" s="9">
        <f>SUM(N20:N22)</f>
        <v>0.1113</v>
      </c>
      <c r="O23" s="9">
        <f>SUM(O20:O22)</f>
        <v>0</v>
      </c>
      <c r="P23" s="335"/>
      <c r="Q23" s="335">
        <f t="shared" ref="Q23:AO23" si="26">SUM(Q20:Q22)</f>
        <v>0</v>
      </c>
      <c r="R23" s="335">
        <f t="shared" si="26"/>
        <v>44.923000000000002</v>
      </c>
      <c r="S23" s="335">
        <f t="shared" si="26"/>
        <v>0</v>
      </c>
      <c r="T23" s="335">
        <f t="shared" si="26"/>
        <v>0</v>
      </c>
      <c r="U23" s="335">
        <f t="shared" si="26"/>
        <v>39.895000000000003</v>
      </c>
      <c r="V23" s="335">
        <f t="shared" si="26"/>
        <v>0</v>
      </c>
      <c r="W23" s="335">
        <f t="shared" si="26"/>
        <v>0</v>
      </c>
      <c r="X23" s="335">
        <f t="shared" si="26"/>
        <v>35.192999999999998</v>
      </c>
      <c r="Y23" s="335">
        <f t="shared" si="26"/>
        <v>0</v>
      </c>
      <c r="Z23" s="335">
        <f t="shared" si="26"/>
        <v>0</v>
      </c>
      <c r="AA23" s="335">
        <f t="shared" si="26"/>
        <v>6.01</v>
      </c>
      <c r="AB23" s="335">
        <f t="shared" si="26"/>
        <v>0</v>
      </c>
      <c r="AC23" s="335">
        <f t="shared" si="26"/>
        <v>0</v>
      </c>
      <c r="AD23" s="335">
        <f t="shared" si="26"/>
        <v>9.9169999999999998</v>
      </c>
      <c r="AE23" s="335">
        <f t="shared" si="26"/>
        <v>0</v>
      </c>
      <c r="AF23" s="335">
        <f t="shared" si="26"/>
        <v>0</v>
      </c>
      <c r="AG23" s="335">
        <f t="shared" si="26"/>
        <v>30.050999999999998</v>
      </c>
      <c r="AH23" s="335">
        <f t="shared" si="26"/>
        <v>0</v>
      </c>
      <c r="AI23" s="335">
        <f t="shared" si="26"/>
        <v>0</v>
      </c>
      <c r="AJ23" s="335">
        <f t="shared" si="26"/>
        <v>40.369</v>
      </c>
      <c r="AK23" s="335">
        <f t="shared" si="26"/>
        <v>0</v>
      </c>
      <c r="AL23" s="335">
        <f t="shared" si="26"/>
        <v>206.358</v>
      </c>
      <c r="AM23" s="335">
        <f t="shared" si="26"/>
        <v>0</v>
      </c>
      <c r="AN23" s="335">
        <f t="shared" si="26"/>
        <v>206.358</v>
      </c>
      <c r="AO23" s="335">
        <f t="shared" si="26"/>
        <v>0</v>
      </c>
      <c r="AP23" s="183">
        <f>$X$9*(D23+G23+J23)-AL23</f>
        <v>0</v>
      </c>
      <c r="AR23" s="181" t="s">
        <v>378</v>
      </c>
      <c r="AS23" s="185">
        <f>AN19+AN38</f>
        <v>914.97900000000004</v>
      </c>
    </row>
    <row r="24" spans="1:45" ht="15.75">
      <c r="A24" s="236">
        <v>10</v>
      </c>
      <c r="B24" s="236" t="s">
        <v>164</v>
      </c>
      <c r="C24" s="236" t="s">
        <v>143</v>
      </c>
      <c r="D24" s="237"/>
      <c r="E24" s="240"/>
      <c r="F24" s="240"/>
      <c r="G24" s="237">
        <v>0.10199999999999999</v>
      </c>
      <c r="H24" s="240">
        <f>G24</f>
        <v>0.10199999999999999</v>
      </c>
      <c r="I24" s="240"/>
      <c r="J24" s="237"/>
      <c r="K24" s="240"/>
      <c r="L24" s="240"/>
      <c r="M24" s="237">
        <f>G24</f>
        <v>0.10199999999999999</v>
      </c>
      <c r="N24" s="240">
        <f>M24</f>
        <v>0.10199999999999999</v>
      </c>
      <c r="O24" s="249"/>
      <c r="P24" s="330"/>
      <c r="Q24" s="327">
        <f t="shared" ref="Q24:Q43" si="27">D24*$Q$9</f>
        <v>0</v>
      </c>
      <c r="R24" s="327">
        <f t="shared" ref="R24:R43" si="28">G24*$Q$9</f>
        <v>41.168999999999997</v>
      </c>
      <c r="S24" s="327">
        <f>J24*$Q$9</f>
        <v>0</v>
      </c>
      <c r="T24" s="327">
        <f t="shared" ref="T24:T43" si="29">D24*$R$9</f>
        <v>0</v>
      </c>
      <c r="U24" s="327">
        <f t="shared" ref="U24:U43" si="30">G24*$R$9</f>
        <v>36.561</v>
      </c>
      <c r="V24" s="327">
        <f>J24*$R$9</f>
        <v>0</v>
      </c>
      <c r="W24" s="327">
        <f t="shared" ref="W24:W43" si="31">D24*$S$9</f>
        <v>0</v>
      </c>
      <c r="X24" s="327">
        <f t="shared" ref="X24:X43" si="32">G24*$S$9</f>
        <v>32.252000000000002</v>
      </c>
      <c r="Y24" s="327">
        <f>J24*$S$9</f>
        <v>0</v>
      </c>
      <c r="Z24" s="327">
        <f t="shared" ref="Z24:Z43" si="33">D24*$T$9</f>
        <v>0</v>
      </c>
      <c r="AA24" s="327">
        <f t="shared" ref="AA24:AA43" si="34">G24*$T$9</f>
        <v>5.508</v>
      </c>
      <c r="AB24" s="327">
        <f>J24*$T$9</f>
        <v>0</v>
      </c>
      <c r="AC24" s="327">
        <f t="shared" ref="AC24:AC41" si="35">D24*$U$9</f>
        <v>0</v>
      </c>
      <c r="AD24" s="327">
        <f t="shared" ref="AD24:AD41" si="36">G24*$U$9</f>
        <v>9.0879999999999992</v>
      </c>
      <c r="AE24" s="327">
        <f>J24*$U$9</f>
        <v>0</v>
      </c>
      <c r="AF24" s="327">
        <f t="shared" ref="AF24:AF43" si="37">D24*$V$9</f>
        <v>0</v>
      </c>
      <c r="AG24" s="327">
        <f t="shared" ref="AG24:AG43" si="38">G24*$V$9</f>
        <v>27.54</v>
      </c>
      <c r="AH24" s="327">
        <f>J24*$V$9</f>
        <v>0</v>
      </c>
      <c r="AI24" s="327">
        <f t="shared" ref="AI24:AI43" si="39">D24*$W$9</f>
        <v>0</v>
      </c>
      <c r="AJ24" s="327">
        <f t="shared" ref="AJ24:AJ43" si="40">G24*$W$9</f>
        <v>36.994999999999997</v>
      </c>
      <c r="AK24" s="327">
        <f>J24*$W$9</f>
        <v>0</v>
      </c>
      <c r="AL24" s="328">
        <f>AM24+AN24+AO24</f>
        <v>189.113</v>
      </c>
      <c r="AM24" s="327">
        <f>Q24+T24+W24+Z24+AC24+AF24+AI24</f>
        <v>0</v>
      </c>
      <c r="AN24" s="329">
        <f>R24+U24+X24+AA24+AD24+AG24+AJ24</f>
        <v>189.113</v>
      </c>
      <c r="AO24" s="327">
        <f>S24+V24+Y24+AB24+AE24+AH24+AK24</f>
        <v>0</v>
      </c>
      <c r="AP24" s="183">
        <f t="shared" ref="AP24:AP32" si="41">$X$9*(D24+G24+J24)-AL24</f>
        <v>0</v>
      </c>
    </row>
    <row r="25" spans="1:45" ht="15.75">
      <c r="A25" s="226">
        <v>11</v>
      </c>
      <c r="B25" s="226" t="s">
        <v>182</v>
      </c>
      <c r="C25" s="226" t="s">
        <v>120</v>
      </c>
      <c r="D25" s="228"/>
      <c r="E25" s="230"/>
      <c r="F25" s="230"/>
      <c r="G25" s="231">
        <v>7.1000000000000004E-3</v>
      </c>
      <c r="H25" s="230"/>
      <c r="I25" s="230">
        <f>G25</f>
        <v>7.1000000000000004E-3</v>
      </c>
      <c r="J25" s="228"/>
      <c r="K25" s="230"/>
      <c r="L25" s="230"/>
      <c r="M25" s="228">
        <f t="shared" ref="M25:O27" si="42">D25+G25+J25</f>
        <v>7.1000000000000004E-3</v>
      </c>
      <c r="N25" s="230">
        <f t="shared" si="42"/>
        <v>0</v>
      </c>
      <c r="O25" s="230">
        <f t="shared" si="42"/>
        <v>7.1000000000000004E-3</v>
      </c>
      <c r="P25" s="330"/>
      <c r="Q25" s="327">
        <f t="shared" si="27"/>
        <v>0</v>
      </c>
      <c r="R25" s="327">
        <f t="shared" si="28"/>
        <v>2.8660000000000001</v>
      </c>
      <c r="S25" s="327">
        <f t="shared" ref="S25:S43" si="43">J25*$Q$9</f>
        <v>0</v>
      </c>
      <c r="T25" s="327">
        <f t="shared" si="29"/>
        <v>0</v>
      </c>
      <c r="U25" s="327">
        <f t="shared" si="30"/>
        <v>2.5449999999999999</v>
      </c>
      <c r="V25" s="327">
        <f t="shared" ref="V25:V42" si="44">J25*$R$9</f>
        <v>0</v>
      </c>
      <c r="W25" s="327">
        <f t="shared" si="31"/>
        <v>0</v>
      </c>
      <c r="X25" s="327">
        <f t="shared" si="32"/>
        <v>2.2450000000000001</v>
      </c>
      <c r="Y25" s="327">
        <f t="shared" ref="Y25:Y42" si="45">J25*$S$9</f>
        <v>0</v>
      </c>
      <c r="Z25" s="327">
        <f t="shared" si="33"/>
        <v>0</v>
      </c>
      <c r="AA25" s="327">
        <f t="shared" si="34"/>
        <v>0.38300000000000001</v>
      </c>
      <c r="AB25" s="327">
        <f>J25*$T$9</f>
        <v>0</v>
      </c>
      <c r="AC25" s="327">
        <f t="shared" si="35"/>
        <v>0</v>
      </c>
      <c r="AD25" s="327">
        <f t="shared" si="36"/>
        <v>0.63300000000000001</v>
      </c>
      <c r="AE25" s="327">
        <f t="shared" ref="AE25:AE41" si="46">J25*$U$9</f>
        <v>0</v>
      </c>
      <c r="AF25" s="327">
        <f t="shared" si="37"/>
        <v>0</v>
      </c>
      <c r="AG25" s="327">
        <f t="shared" si="38"/>
        <v>1.917</v>
      </c>
      <c r="AH25" s="327">
        <f t="shared" ref="AH25:AH39" si="47">J25*$V$9</f>
        <v>0</v>
      </c>
      <c r="AI25" s="327">
        <f t="shared" si="39"/>
        <v>0</v>
      </c>
      <c r="AJ25" s="327">
        <f t="shared" si="40"/>
        <v>2.5750000000000002</v>
      </c>
      <c r="AK25" s="327">
        <f t="shared" ref="AK25:AK39" si="48">J25*$W$9</f>
        <v>0</v>
      </c>
      <c r="AL25" s="328">
        <f t="shared" ref="AL25:AL43" si="49">AM25+AN25+AO25</f>
        <v>13.164</v>
      </c>
      <c r="AM25" s="327">
        <f t="shared" ref="AM25:AO40" si="50">Q25+T25+W25+Z25+AC25+AF25+AI25</f>
        <v>0</v>
      </c>
      <c r="AN25" s="329">
        <f t="shared" si="50"/>
        <v>13.164</v>
      </c>
      <c r="AO25" s="327">
        <f t="shared" si="50"/>
        <v>0</v>
      </c>
      <c r="AP25" s="183">
        <f t="shared" si="41"/>
        <v>0</v>
      </c>
    </row>
    <row r="26" spans="1:45" ht="15.75" customHeight="1">
      <c r="A26" s="227">
        <v>13</v>
      </c>
      <c r="B26" s="227" t="s">
        <v>183</v>
      </c>
      <c r="C26" s="227" t="s">
        <v>121</v>
      </c>
      <c r="D26" s="232"/>
      <c r="E26" s="234"/>
      <c r="F26" s="234"/>
      <c r="G26" s="235">
        <v>2.5700000000000001E-2</v>
      </c>
      <c r="H26" s="234"/>
      <c r="I26" s="234">
        <f>G26</f>
        <v>2.5700000000000001E-2</v>
      </c>
      <c r="J26" s="232"/>
      <c r="K26" s="234"/>
      <c r="L26" s="234"/>
      <c r="M26" s="232">
        <f t="shared" si="42"/>
        <v>2.5700000000000001E-2</v>
      </c>
      <c r="N26" s="234">
        <f t="shared" si="42"/>
        <v>0</v>
      </c>
      <c r="O26" s="234">
        <f t="shared" si="42"/>
        <v>2.5700000000000001E-2</v>
      </c>
      <c r="P26" s="330"/>
      <c r="Q26" s="327">
        <f t="shared" si="27"/>
        <v>0</v>
      </c>
      <c r="R26" s="327">
        <f t="shared" si="28"/>
        <v>10.372999999999999</v>
      </c>
      <c r="S26" s="327">
        <f t="shared" si="43"/>
        <v>0</v>
      </c>
      <c r="T26" s="327">
        <f t="shared" si="29"/>
        <v>0</v>
      </c>
      <c r="U26" s="327">
        <f t="shared" si="30"/>
        <v>9.2119999999999997</v>
      </c>
      <c r="V26" s="327">
        <f t="shared" si="44"/>
        <v>0</v>
      </c>
      <c r="W26" s="327">
        <f t="shared" si="31"/>
        <v>0</v>
      </c>
      <c r="X26" s="327">
        <f t="shared" si="32"/>
        <v>8.1259999999999994</v>
      </c>
      <c r="Y26" s="327">
        <f t="shared" si="45"/>
        <v>0</v>
      </c>
      <c r="Z26" s="327">
        <f t="shared" si="33"/>
        <v>0</v>
      </c>
      <c r="AA26" s="327">
        <f t="shared" si="34"/>
        <v>1.3879999999999999</v>
      </c>
      <c r="AB26" s="327">
        <f t="shared" ref="AB26:AB41" si="51">J26*$T$9</f>
        <v>0</v>
      </c>
      <c r="AC26" s="327">
        <f t="shared" si="35"/>
        <v>0</v>
      </c>
      <c r="AD26" s="327">
        <f t="shared" si="36"/>
        <v>2.29</v>
      </c>
      <c r="AE26" s="327">
        <f t="shared" si="46"/>
        <v>0</v>
      </c>
      <c r="AF26" s="327">
        <f t="shared" si="37"/>
        <v>0</v>
      </c>
      <c r="AG26" s="327">
        <f t="shared" si="38"/>
        <v>6.9390000000000001</v>
      </c>
      <c r="AH26" s="327">
        <f t="shared" si="47"/>
        <v>0</v>
      </c>
      <c r="AI26" s="327">
        <f t="shared" si="39"/>
        <v>0</v>
      </c>
      <c r="AJ26" s="327">
        <f t="shared" si="40"/>
        <v>9.3209999999999997</v>
      </c>
      <c r="AK26" s="327">
        <f t="shared" si="48"/>
        <v>0</v>
      </c>
      <c r="AL26" s="328">
        <f t="shared" si="49"/>
        <v>47.649000000000001</v>
      </c>
      <c r="AM26" s="327">
        <f t="shared" si="50"/>
        <v>0</v>
      </c>
      <c r="AN26" s="329">
        <f t="shared" si="50"/>
        <v>47.649000000000001</v>
      </c>
      <c r="AO26" s="327">
        <f t="shared" si="50"/>
        <v>0</v>
      </c>
      <c r="AP26" s="183">
        <f t="shared" si="41"/>
        <v>0</v>
      </c>
    </row>
    <row r="27" spans="1:45" ht="15.75" customHeight="1">
      <c r="A27" s="227">
        <v>15</v>
      </c>
      <c r="B27" s="227" t="s">
        <v>184</v>
      </c>
      <c r="C27" s="227" t="s">
        <v>122</v>
      </c>
      <c r="D27" s="232"/>
      <c r="E27" s="234"/>
      <c r="F27" s="234"/>
      <c r="G27" s="235">
        <v>0.27100000000000002</v>
      </c>
      <c r="H27" s="234">
        <f>G27</f>
        <v>0.27100000000000002</v>
      </c>
      <c r="I27" s="234"/>
      <c r="J27" s="232"/>
      <c r="K27" s="234"/>
      <c r="L27" s="250"/>
      <c r="M27" s="232">
        <f t="shared" si="42"/>
        <v>0.27100000000000002</v>
      </c>
      <c r="N27" s="234">
        <f t="shared" si="42"/>
        <v>0.27100000000000002</v>
      </c>
      <c r="O27" s="234">
        <f t="shared" si="42"/>
        <v>0</v>
      </c>
      <c r="P27" s="334"/>
      <c r="Q27" s="332">
        <f t="shared" si="27"/>
        <v>0</v>
      </c>
      <c r="R27" s="332">
        <f t="shared" si="28"/>
        <v>109.381</v>
      </c>
      <c r="S27" s="332">
        <f t="shared" si="43"/>
        <v>0</v>
      </c>
      <c r="T27" s="332">
        <f t="shared" si="29"/>
        <v>0</v>
      </c>
      <c r="U27" s="332">
        <f t="shared" si="30"/>
        <v>97.137</v>
      </c>
      <c r="V27" s="332">
        <f t="shared" si="44"/>
        <v>0</v>
      </c>
      <c r="W27" s="332">
        <f t="shared" si="31"/>
        <v>0</v>
      </c>
      <c r="X27" s="332">
        <f t="shared" si="32"/>
        <v>85.69</v>
      </c>
      <c r="Y27" s="332">
        <f t="shared" si="45"/>
        <v>0</v>
      </c>
      <c r="Z27" s="332">
        <f t="shared" si="33"/>
        <v>0</v>
      </c>
      <c r="AA27" s="332">
        <f t="shared" si="34"/>
        <v>14.634</v>
      </c>
      <c r="AB27" s="332">
        <f t="shared" si="51"/>
        <v>0</v>
      </c>
      <c r="AC27" s="332">
        <f t="shared" si="35"/>
        <v>0</v>
      </c>
      <c r="AD27" s="332">
        <f t="shared" si="36"/>
        <v>24.146000000000001</v>
      </c>
      <c r="AE27" s="332">
        <f t="shared" si="46"/>
        <v>0</v>
      </c>
      <c r="AF27" s="332">
        <f t="shared" si="37"/>
        <v>0</v>
      </c>
      <c r="AG27" s="332">
        <f t="shared" si="38"/>
        <v>73.17</v>
      </c>
      <c r="AH27" s="332">
        <f t="shared" si="47"/>
        <v>0</v>
      </c>
      <c r="AI27" s="332">
        <f t="shared" si="39"/>
        <v>0</v>
      </c>
      <c r="AJ27" s="332">
        <f t="shared" si="40"/>
        <v>98.292000000000002</v>
      </c>
      <c r="AK27" s="332">
        <f t="shared" si="48"/>
        <v>0</v>
      </c>
      <c r="AL27" s="328">
        <f t="shared" si="49"/>
        <v>502.45</v>
      </c>
      <c r="AM27" s="332">
        <f t="shared" si="50"/>
        <v>0</v>
      </c>
      <c r="AN27" s="332">
        <f t="shared" si="50"/>
        <v>502.45</v>
      </c>
      <c r="AO27" s="332">
        <f t="shared" si="50"/>
        <v>0</v>
      </c>
      <c r="AP27" s="183">
        <f t="shared" si="41"/>
        <v>0</v>
      </c>
    </row>
    <row r="28" spans="1:45" ht="15" customHeight="1">
      <c r="A28" s="236">
        <v>18</v>
      </c>
      <c r="B28" s="236" t="s">
        <v>185</v>
      </c>
      <c r="C28" s="243" t="s">
        <v>369</v>
      </c>
      <c r="D28" s="251">
        <v>3.2000000000000001E-2</v>
      </c>
      <c r="E28" s="240"/>
      <c r="F28" s="252">
        <f t="shared" ref="F28:F33" si="52">D28</f>
        <v>3.2000000000000001E-2</v>
      </c>
      <c r="G28" s="237"/>
      <c r="H28" s="240"/>
      <c r="I28" s="240"/>
      <c r="J28" s="237"/>
      <c r="K28" s="240"/>
      <c r="L28" s="253"/>
      <c r="M28" s="239">
        <f t="shared" ref="M28:M33" si="53">D28</f>
        <v>3.2000000000000001E-2</v>
      </c>
      <c r="N28" s="178"/>
      <c r="O28" s="252">
        <f t="shared" ref="O28:O33" si="54">M28</f>
        <v>3.2000000000000001E-2</v>
      </c>
      <c r="P28" s="334"/>
      <c r="Q28" s="332">
        <f t="shared" si="27"/>
        <v>12.916</v>
      </c>
      <c r="R28" s="332">
        <f t="shared" si="28"/>
        <v>0</v>
      </c>
      <c r="S28" s="332">
        <f t="shared" si="43"/>
        <v>0</v>
      </c>
      <c r="T28" s="332">
        <f t="shared" si="29"/>
        <v>11.47</v>
      </c>
      <c r="U28" s="332">
        <f t="shared" si="30"/>
        <v>0</v>
      </c>
      <c r="V28" s="332">
        <f t="shared" si="44"/>
        <v>0</v>
      </c>
      <c r="W28" s="332">
        <f t="shared" si="31"/>
        <v>10.118</v>
      </c>
      <c r="X28" s="332">
        <f t="shared" si="32"/>
        <v>0</v>
      </c>
      <c r="Y28" s="332">
        <f t="shared" si="45"/>
        <v>0</v>
      </c>
      <c r="Z28" s="332">
        <f t="shared" si="33"/>
        <v>1.728</v>
      </c>
      <c r="AA28" s="332">
        <f t="shared" si="34"/>
        <v>0</v>
      </c>
      <c r="AB28" s="332">
        <f t="shared" si="51"/>
        <v>0</v>
      </c>
      <c r="AC28" s="332">
        <f t="shared" si="35"/>
        <v>2.851</v>
      </c>
      <c r="AD28" s="332">
        <f t="shared" si="36"/>
        <v>0</v>
      </c>
      <c r="AE28" s="332">
        <f t="shared" si="46"/>
        <v>0</v>
      </c>
      <c r="AF28" s="332">
        <f t="shared" si="37"/>
        <v>8.64</v>
      </c>
      <c r="AG28" s="332">
        <f t="shared" si="38"/>
        <v>0</v>
      </c>
      <c r="AH28" s="332">
        <f t="shared" si="47"/>
        <v>0</v>
      </c>
      <c r="AI28" s="332">
        <f t="shared" si="39"/>
        <v>11.606</v>
      </c>
      <c r="AJ28" s="332">
        <f t="shared" si="40"/>
        <v>0</v>
      </c>
      <c r="AK28" s="332">
        <f t="shared" si="48"/>
        <v>0</v>
      </c>
      <c r="AL28" s="328">
        <f t="shared" si="49"/>
        <v>59.329000000000001</v>
      </c>
      <c r="AM28" s="332">
        <f t="shared" si="50"/>
        <v>59.329000000000001</v>
      </c>
      <c r="AN28" s="332">
        <f t="shared" si="50"/>
        <v>0</v>
      </c>
      <c r="AO28" s="332">
        <f t="shared" si="50"/>
        <v>0</v>
      </c>
      <c r="AP28" s="183">
        <f t="shared" si="41"/>
        <v>0</v>
      </c>
    </row>
    <row r="29" spans="1:45" ht="15.75" customHeight="1">
      <c r="A29" s="236"/>
      <c r="B29" s="254"/>
      <c r="C29" s="243" t="s">
        <v>370</v>
      </c>
      <c r="D29" s="251">
        <v>8.9999999999999993E-3</v>
      </c>
      <c r="E29" s="253"/>
      <c r="F29" s="252">
        <f t="shared" si="52"/>
        <v>8.9999999999999993E-3</v>
      </c>
      <c r="G29" s="255"/>
      <c r="H29" s="253"/>
      <c r="I29" s="253"/>
      <c r="J29" s="255"/>
      <c r="K29" s="253"/>
      <c r="L29" s="253"/>
      <c r="M29" s="239">
        <f t="shared" si="53"/>
        <v>8.9999999999999993E-3</v>
      </c>
      <c r="N29" s="178"/>
      <c r="O29" s="252">
        <f t="shared" si="54"/>
        <v>8.9999999999999993E-3</v>
      </c>
      <c r="P29" s="334"/>
      <c r="Q29" s="332">
        <f t="shared" si="27"/>
        <v>3.633</v>
      </c>
      <c r="R29" s="332">
        <f t="shared" si="28"/>
        <v>0</v>
      </c>
      <c r="S29" s="332">
        <f t="shared" si="43"/>
        <v>0</v>
      </c>
      <c r="T29" s="332">
        <f t="shared" si="29"/>
        <v>3.226</v>
      </c>
      <c r="U29" s="332">
        <f t="shared" si="30"/>
        <v>0</v>
      </c>
      <c r="V29" s="332">
        <f t="shared" si="44"/>
        <v>0</v>
      </c>
      <c r="W29" s="332">
        <f t="shared" si="31"/>
        <v>2.8460000000000001</v>
      </c>
      <c r="X29" s="332">
        <f t="shared" si="32"/>
        <v>0</v>
      </c>
      <c r="Y29" s="332">
        <f t="shared" si="45"/>
        <v>0</v>
      </c>
      <c r="Z29" s="332">
        <f t="shared" si="33"/>
        <v>0.48599999999999999</v>
      </c>
      <c r="AA29" s="332">
        <f t="shared" si="34"/>
        <v>0</v>
      </c>
      <c r="AB29" s="332">
        <f t="shared" si="51"/>
        <v>0</v>
      </c>
      <c r="AC29" s="332">
        <f t="shared" si="35"/>
        <v>0.80200000000000005</v>
      </c>
      <c r="AD29" s="332">
        <f t="shared" si="36"/>
        <v>0</v>
      </c>
      <c r="AE29" s="332">
        <f t="shared" si="46"/>
        <v>0</v>
      </c>
      <c r="AF29" s="332">
        <f t="shared" si="37"/>
        <v>2.4300000000000002</v>
      </c>
      <c r="AG29" s="332">
        <f t="shared" si="38"/>
        <v>0</v>
      </c>
      <c r="AH29" s="332">
        <f t="shared" si="47"/>
        <v>0</v>
      </c>
      <c r="AI29" s="332">
        <f t="shared" si="39"/>
        <v>3.2639999999999998</v>
      </c>
      <c r="AJ29" s="332">
        <f t="shared" si="40"/>
        <v>0</v>
      </c>
      <c r="AK29" s="332">
        <f t="shared" si="48"/>
        <v>0</v>
      </c>
      <c r="AL29" s="328">
        <f t="shared" si="49"/>
        <v>16.687000000000001</v>
      </c>
      <c r="AM29" s="332">
        <f t="shared" si="50"/>
        <v>16.687000000000001</v>
      </c>
      <c r="AN29" s="332">
        <f t="shared" si="50"/>
        <v>0</v>
      </c>
      <c r="AO29" s="332">
        <f t="shared" si="50"/>
        <v>0</v>
      </c>
      <c r="AP29" s="183">
        <f t="shared" si="41"/>
        <v>0</v>
      </c>
    </row>
    <row r="30" spans="1:45" ht="15" customHeight="1">
      <c r="A30" s="236"/>
      <c r="B30" s="254"/>
      <c r="C30" s="243" t="s">
        <v>371</v>
      </c>
      <c r="D30" s="251">
        <v>2.5000000000000001E-2</v>
      </c>
      <c r="E30" s="253"/>
      <c r="F30" s="252">
        <f t="shared" si="52"/>
        <v>2.5000000000000001E-2</v>
      </c>
      <c r="G30" s="255"/>
      <c r="H30" s="253"/>
      <c r="I30" s="253"/>
      <c r="J30" s="255"/>
      <c r="K30" s="253"/>
      <c r="L30" s="253"/>
      <c r="M30" s="239">
        <f t="shared" si="53"/>
        <v>2.5000000000000001E-2</v>
      </c>
      <c r="N30" s="178"/>
      <c r="O30" s="252">
        <f t="shared" si="54"/>
        <v>2.5000000000000001E-2</v>
      </c>
      <c r="P30" s="334"/>
      <c r="Q30" s="332">
        <f t="shared" si="27"/>
        <v>10.090999999999999</v>
      </c>
      <c r="R30" s="332">
        <f t="shared" si="28"/>
        <v>0</v>
      </c>
      <c r="S30" s="332">
        <f t="shared" si="43"/>
        <v>0</v>
      </c>
      <c r="T30" s="332">
        <f t="shared" si="29"/>
        <v>8.9610000000000003</v>
      </c>
      <c r="U30" s="332">
        <f t="shared" si="30"/>
        <v>0</v>
      </c>
      <c r="V30" s="332">
        <f t="shared" si="44"/>
        <v>0</v>
      </c>
      <c r="W30" s="332">
        <f t="shared" si="31"/>
        <v>7.9050000000000002</v>
      </c>
      <c r="X30" s="332">
        <f t="shared" si="32"/>
        <v>0</v>
      </c>
      <c r="Y30" s="332">
        <f t="shared" si="45"/>
        <v>0</v>
      </c>
      <c r="Z30" s="332">
        <f t="shared" si="33"/>
        <v>1.35</v>
      </c>
      <c r="AA30" s="332">
        <f t="shared" si="34"/>
        <v>0</v>
      </c>
      <c r="AB30" s="332">
        <f t="shared" si="51"/>
        <v>0</v>
      </c>
      <c r="AC30" s="332">
        <f t="shared" si="35"/>
        <v>2.2280000000000002</v>
      </c>
      <c r="AD30" s="332">
        <f t="shared" si="36"/>
        <v>0</v>
      </c>
      <c r="AE30" s="332">
        <f t="shared" si="46"/>
        <v>0</v>
      </c>
      <c r="AF30" s="332">
        <f t="shared" si="37"/>
        <v>6.75</v>
      </c>
      <c r="AG30" s="332">
        <f t="shared" si="38"/>
        <v>0</v>
      </c>
      <c r="AH30" s="332">
        <f t="shared" si="47"/>
        <v>0</v>
      </c>
      <c r="AI30" s="332">
        <f t="shared" si="39"/>
        <v>9.0679999999999996</v>
      </c>
      <c r="AJ30" s="332">
        <f t="shared" si="40"/>
        <v>0</v>
      </c>
      <c r="AK30" s="332">
        <f t="shared" si="48"/>
        <v>0</v>
      </c>
      <c r="AL30" s="328">
        <f t="shared" si="49"/>
        <v>46.353000000000002</v>
      </c>
      <c r="AM30" s="332">
        <f t="shared" si="50"/>
        <v>46.353000000000002</v>
      </c>
      <c r="AN30" s="332">
        <f t="shared" si="50"/>
        <v>0</v>
      </c>
      <c r="AO30" s="332">
        <f t="shared" si="50"/>
        <v>0</v>
      </c>
      <c r="AP30" s="183">
        <f t="shared" si="41"/>
        <v>0</v>
      </c>
    </row>
    <row r="31" spans="1:45" ht="15.75" customHeight="1">
      <c r="A31" s="236"/>
      <c r="B31" s="256"/>
      <c r="C31" s="243" t="s">
        <v>123</v>
      </c>
      <c r="D31" s="251">
        <v>1.4999999999999999E-2</v>
      </c>
      <c r="E31" s="238"/>
      <c r="F31" s="252">
        <f t="shared" si="52"/>
        <v>1.4999999999999999E-2</v>
      </c>
      <c r="G31" s="257"/>
      <c r="H31" s="238"/>
      <c r="I31" s="238"/>
      <c r="J31" s="257"/>
      <c r="K31" s="238"/>
      <c r="L31" s="238"/>
      <c r="M31" s="239">
        <f t="shared" si="53"/>
        <v>1.4999999999999999E-2</v>
      </c>
      <c r="N31" s="178"/>
      <c r="O31" s="252">
        <f t="shared" si="54"/>
        <v>1.4999999999999999E-2</v>
      </c>
      <c r="P31" s="334"/>
      <c r="Q31" s="332">
        <f t="shared" si="27"/>
        <v>6.0540000000000003</v>
      </c>
      <c r="R31" s="332">
        <f t="shared" si="28"/>
        <v>0</v>
      </c>
      <c r="S31" s="332">
        <f t="shared" si="43"/>
        <v>0</v>
      </c>
      <c r="T31" s="332">
        <f t="shared" si="29"/>
        <v>5.3769999999999998</v>
      </c>
      <c r="U31" s="332">
        <f t="shared" si="30"/>
        <v>0</v>
      </c>
      <c r="V31" s="332">
        <f t="shared" si="44"/>
        <v>0</v>
      </c>
      <c r="W31" s="332">
        <f t="shared" si="31"/>
        <v>4.7430000000000003</v>
      </c>
      <c r="X31" s="332">
        <f t="shared" si="32"/>
        <v>0</v>
      </c>
      <c r="Y31" s="332">
        <f t="shared" si="45"/>
        <v>0</v>
      </c>
      <c r="Z31" s="332">
        <f t="shared" si="33"/>
        <v>0.81</v>
      </c>
      <c r="AA31" s="332">
        <f t="shared" si="34"/>
        <v>0</v>
      </c>
      <c r="AB31" s="332">
        <f t="shared" si="51"/>
        <v>0</v>
      </c>
      <c r="AC31" s="332">
        <f t="shared" si="35"/>
        <v>1.337</v>
      </c>
      <c r="AD31" s="332">
        <f t="shared" si="36"/>
        <v>0</v>
      </c>
      <c r="AE31" s="332">
        <f t="shared" si="46"/>
        <v>0</v>
      </c>
      <c r="AF31" s="332">
        <f t="shared" si="37"/>
        <v>4.05</v>
      </c>
      <c r="AG31" s="332">
        <f t="shared" si="38"/>
        <v>0</v>
      </c>
      <c r="AH31" s="332">
        <f t="shared" si="47"/>
        <v>0</v>
      </c>
      <c r="AI31" s="332">
        <f t="shared" si="39"/>
        <v>5.4409999999999998</v>
      </c>
      <c r="AJ31" s="332">
        <f t="shared" si="40"/>
        <v>0</v>
      </c>
      <c r="AK31" s="332">
        <f t="shared" si="48"/>
        <v>0</v>
      </c>
      <c r="AL31" s="328">
        <f t="shared" si="49"/>
        <v>27.812000000000001</v>
      </c>
      <c r="AM31" s="332">
        <f t="shared" si="50"/>
        <v>27.812000000000001</v>
      </c>
      <c r="AN31" s="332">
        <f t="shared" si="50"/>
        <v>0</v>
      </c>
      <c r="AO31" s="332">
        <f t="shared" si="50"/>
        <v>0</v>
      </c>
      <c r="AP31" s="183">
        <f t="shared" si="41"/>
        <v>0</v>
      </c>
    </row>
    <row r="32" spans="1:45" ht="15.75">
      <c r="A32" s="236"/>
      <c r="B32" s="256"/>
      <c r="C32" s="243" t="s">
        <v>124</v>
      </c>
      <c r="D32" s="251">
        <v>1.9E-2</v>
      </c>
      <c r="E32" s="238"/>
      <c r="F32" s="252">
        <f t="shared" si="52"/>
        <v>1.9E-2</v>
      </c>
      <c r="G32" s="257"/>
      <c r="H32" s="238"/>
      <c r="I32" s="238"/>
      <c r="J32" s="257"/>
      <c r="K32" s="238"/>
      <c r="L32" s="238"/>
      <c r="M32" s="239">
        <f t="shared" si="53"/>
        <v>1.9E-2</v>
      </c>
      <c r="N32" s="178"/>
      <c r="O32" s="252">
        <f t="shared" si="54"/>
        <v>1.9E-2</v>
      </c>
      <c r="P32" s="334"/>
      <c r="Q32" s="332">
        <f t="shared" si="27"/>
        <v>7.6689999999999996</v>
      </c>
      <c r="R32" s="332">
        <f t="shared" si="28"/>
        <v>0</v>
      </c>
      <c r="S32" s="332">
        <f t="shared" si="43"/>
        <v>0</v>
      </c>
      <c r="T32" s="332">
        <f t="shared" si="29"/>
        <v>6.81</v>
      </c>
      <c r="U32" s="332">
        <f t="shared" si="30"/>
        <v>0</v>
      </c>
      <c r="V32" s="332">
        <f t="shared" si="44"/>
        <v>0</v>
      </c>
      <c r="W32" s="332">
        <f t="shared" si="31"/>
        <v>6.008</v>
      </c>
      <c r="X32" s="332">
        <f t="shared" si="32"/>
        <v>0</v>
      </c>
      <c r="Y32" s="332">
        <f t="shared" si="45"/>
        <v>0</v>
      </c>
      <c r="Z32" s="332">
        <f t="shared" si="33"/>
        <v>1.026</v>
      </c>
      <c r="AA32" s="332">
        <f t="shared" si="34"/>
        <v>0</v>
      </c>
      <c r="AB32" s="332">
        <f t="shared" si="51"/>
        <v>0</v>
      </c>
      <c r="AC32" s="332">
        <f t="shared" si="35"/>
        <v>1.6930000000000001</v>
      </c>
      <c r="AD32" s="332">
        <f t="shared" si="36"/>
        <v>0</v>
      </c>
      <c r="AE32" s="332">
        <f t="shared" si="46"/>
        <v>0</v>
      </c>
      <c r="AF32" s="332">
        <f t="shared" si="37"/>
        <v>5.13</v>
      </c>
      <c r="AG32" s="332">
        <f t="shared" si="38"/>
        <v>0</v>
      </c>
      <c r="AH32" s="332">
        <f t="shared" si="47"/>
        <v>0</v>
      </c>
      <c r="AI32" s="332">
        <f t="shared" si="39"/>
        <v>6.891</v>
      </c>
      <c r="AJ32" s="332">
        <f t="shared" si="40"/>
        <v>0</v>
      </c>
      <c r="AK32" s="332">
        <f t="shared" si="48"/>
        <v>0</v>
      </c>
      <c r="AL32" s="328">
        <f t="shared" si="49"/>
        <v>35.226999999999997</v>
      </c>
      <c r="AM32" s="332">
        <f t="shared" si="50"/>
        <v>35.226999999999997</v>
      </c>
      <c r="AN32" s="332">
        <f t="shared" si="50"/>
        <v>0</v>
      </c>
      <c r="AO32" s="332">
        <f t="shared" si="50"/>
        <v>0</v>
      </c>
      <c r="AP32" s="183">
        <f t="shared" si="41"/>
        <v>0</v>
      </c>
      <c r="AS32" s="185">
        <f>AM30+AM33</f>
        <v>66.748000000000005</v>
      </c>
    </row>
    <row r="33" spans="1:42" ht="15.75">
      <c r="A33" s="236"/>
      <c r="B33" s="256"/>
      <c r="C33" s="243" t="s">
        <v>125</v>
      </c>
      <c r="D33" s="251">
        <v>1.0999999999999999E-2</v>
      </c>
      <c r="E33" s="238"/>
      <c r="F33" s="252">
        <f t="shared" si="52"/>
        <v>1.0999999999999999E-2</v>
      </c>
      <c r="G33" s="257"/>
      <c r="H33" s="238"/>
      <c r="I33" s="238"/>
      <c r="J33" s="257"/>
      <c r="K33" s="238"/>
      <c r="L33" s="238"/>
      <c r="M33" s="239">
        <f t="shared" si="53"/>
        <v>1.0999999999999999E-2</v>
      </c>
      <c r="N33" s="178"/>
      <c r="O33" s="252">
        <f t="shared" si="54"/>
        <v>1.0999999999999999E-2</v>
      </c>
      <c r="P33" s="334"/>
      <c r="Q33" s="332">
        <f t="shared" si="27"/>
        <v>4.4400000000000004</v>
      </c>
      <c r="R33" s="332">
        <f t="shared" si="28"/>
        <v>0</v>
      </c>
      <c r="S33" s="332">
        <f t="shared" si="43"/>
        <v>0</v>
      </c>
      <c r="T33" s="332">
        <f t="shared" si="29"/>
        <v>3.9430000000000001</v>
      </c>
      <c r="U33" s="332">
        <f t="shared" si="30"/>
        <v>0</v>
      </c>
      <c r="V33" s="332">
        <f t="shared" si="44"/>
        <v>0</v>
      </c>
      <c r="W33" s="332">
        <f t="shared" si="31"/>
        <v>3.4780000000000002</v>
      </c>
      <c r="X33" s="332">
        <f t="shared" si="32"/>
        <v>0</v>
      </c>
      <c r="Y33" s="332">
        <f t="shared" si="45"/>
        <v>0</v>
      </c>
      <c r="Z33" s="332">
        <f t="shared" si="33"/>
        <v>0.59399999999999997</v>
      </c>
      <c r="AA33" s="332">
        <f t="shared" si="34"/>
        <v>0</v>
      </c>
      <c r="AB33" s="332">
        <f t="shared" si="51"/>
        <v>0</v>
      </c>
      <c r="AC33" s="332">
        <f t="shared" si="35"/>
        <v>0.98</v>
      </c>
      <c r="AD33" s="332">
        <f t="shared" si="36"/>
        <v>0</v>
      </c>
      <c r="AE33" s="332">
        <f t="shared" si="46"/>
        <v>0</v>
      </c>
      <c r="AF33" s="332">
        <f t="shared" si="37"/>
        <v>2.97</v>
      </c>
      <c r="AG33" s="332">
        <f t="shared" si="38"/>
        <v>0</v>
      </c>
      <c r="AH33" s="332">
        <f t="shared" si="47"/>
        <v>0</v>
      </c>
      <c r="AI33" s="332">
        <f t="shared" si="39"/>
        <v>3.99</v>
      </c>
      <c r="AJ33" s="332">
        <f t="shared" si="40"/>
        <v>0</v>
      </c>
      <c r="AK33" s="332">
        <f t="shared" si="48"/>
        <v>0</v>
      </c>
      <c r="AL33" s="328">
        <f t="shared" si="49"/>
        <v>20.395</v>
      </c>
      <c r="AM33" s="332">
        <f t="shared" si="50"/>
        <v>20.395</v>
      </c>
      <c r="AN33" s="332">
        <f t="shared" si="50"/>
        <v>0</v>
      </c>
      <c r="AO33" s="332">
        <f t="shared" si="50"/>
        <v>0</v>
      </c>
      <c r="AP33" s="183">
        <f>$X$9*(D33+G33+J33)-AL33</f>
        <v>0</v>
      </c>
    </row>
    <row r="34" spans="1:42" ht="15.75">
      <c r="A34" s="236"/>
      <c r="B34" s="256"/>
      <c r="C34" s="236" t="s">
        <v>126</v>
      </c>
      <c r="D34" s="257"/>
      <c r="E34" s="238"/>
      <c r="F34" s="238"/>
      <c r="G34" s="239">
        <v>0.16300000000000001</v>
      </c>
      <c r="H34" s="245">
        <f>G34</f>
        <v>0.16300000000000001</v>
      </c>
      <c r="I34" s="240"/>
      <c r="J34" s="237"/>
      <c r="K34" s="240"/>
      <c r="L34" s="240"/>
      <c r="M34" s="239">
        <f>G34</f>
        <v>0.16300000000000001</v>
      </c>
      <c r="N34" s="245">
        <f>M34</f>
        <v>0.16300000000000001</v>
      </c>
      <c r="O34" s="258"/>
      <c r="P34" s="334"/>
      <c r="Q34" s="332">
        <f t="shared" si="27"/>
        <v>0</v>
      </c>
      <c r="R34" s="332">
        <f t="shared" si="28"/>
        <v>65.790000000000006</v>
      </c>
      <c r="S34" s="332">
        <f t="shared" si="43"/>
        <v>0</v>
      </c>
      <c r="T34" s="332">
        <f t="shared" si="29"/>
        <v>0</v>
      </c>
      <c r="U34" s="332">
        <f t="shared" si="30"/>
        <v>58.426000000000002</v>
      </c>
      <c r="V34" s="332">
        <f t="shared" si="44"/>
        <v>0</v>
      </c>
      <c r="W34" s="332">
        <f t="shared" si="31"/>
        <v>0</v>
      </c>
      <c r="X34" s="332">
        <f t="shared" si="32"/>
        <v>51.540999999999997</v>
      </c>
      <c r="Y34" s="332">
        <f t="shared" si="45"/>
        <v>0</v>
      </c>
      <c r="Z34" s="332">
        <f t="shared" si="33"/>
        <v>0</v>
      </c>
      <c r="AA34" s="332">
        <f t="shared" si="34"/>
        <v>8.8019999999999996</v>
      </c>
      <c r="AB34" s="332">
        <f t="shared" si="51"/>
        <v>0</v>
      </c>
      <c r="AC34" s="332">
        <f t="shared" si="35"/>
        <v>0</v>
      </c>
      <c r="AD34" s="332">
        <f t="shared" si="36"/>
        <v>14.523</v>
      </c>
      <c r="AE34" s="332">
        <f t="shared" si="46"/>
        <v>0</v>
      </c>
      <c r="AF34" s="332">
        <f t="shared" si="37"/>
        <v>0</v>
      </c>
      <c r="AG34" s="332">
        <f t="shared" si="38"/>
        <v>44.01</v>
      </c>
      <c r="AH34" s="332">
        <f t="shared" si="47"/>
        <v>0</v>
      </c>
      <c r="AI34" s="332">
        <f t="shared" si="39"/>
        <v>0</v>
      </c>
      <c r="AJ34" s="332">
        <f t="shared" si="40"/>
        <v>59.12</v>
      </c>
      <c r="AK34" s="332">
        <f t="shared" si="48"/>
        <v>0</v>
      </c>
      <c r="AL34" s="328">
        <f t="shared" si="49"/>
        <v>302.21199999999999</v>
      </c>
      <c r="AM34" s="332">
        <f t="shared" si="50"/>
        <v>0</v>
      </c>
      <c r="AN34" s="332">
        <f t="shared" si="50"/>
        <v>302.21199999999999</v>
      </c>
      <c r="AO34" s="332">
        <f t="shared" si="50"/>
        <v>0</v>
      </c>
      <c r="AP34" s="183">
        <f>$X$9*(D34+G34+J34)-AL34</f>
        <v>0</v>
      </c>
    </row>
    <row r="35" spans="1:42" ht="15" customHeight="1">
      <c r="A35" s="236"/>
      <c r="B35" s="256"/>
      <c r="C35" s="236" t="s">
        <v>129</v>
      </c>
      <c r="D35" s="257"/>
      <c r="E35" s="238"/>
      <c r="F35" s="238"/>
      <c r="G35" s="239">
        <v>0.23100000000000001</v>
      </c>
      <c r="H35" s="240">
        <v>0.23100000000000001</v>
      </c>
      <c r="I35" s="240"/>
      <c r="J35" s="237"/>
      <c r="K35" s="240"/>
      <c r="L35" s="240"/>
      <c r="M35" s="239">
        <f t="shared" ref="M35:M41" si="55">G35</f>
        <v>0.23100000000000001</v>
      </c>
      <c r="N35" s="245">
        <f t="shared" ref="N35:N41" si="56">M35</f>
        <v>0.23100000000000001</v>
      </c>
      <c r="O35" s="258"/>
      <c r="P35" s="334"/>
      <c r="Q35" s="332">
        <f t="shared" si="27"/>
        <v>0</v>
      </c>
      <c r="R35" s="332">
        <f t="shared" si="28"/>
        <v>93.236000000000004</v>
      </c>
      <c r="S35" s="332">
        <f t="shared" si="43"/>
        <v>0</v>
      </c>
      <c r="T35" s="332">
        <f t="shared" si="29"/>
        <v>0</v>
      </c>
      <c r="U35" s="332">
        <f t="shared" si="30"/>
        <v>82.8</v>
      </c>
      <c r="V35" s="332">
        <f t="shared" si="44"/>
        <v>0</v>
      </c>
      <c r="W35" s="332">
        <f t="shared" si="31"/>
        <v>0</v>
      </c>
      <c r="X35" s="332">
        <f t="shared" si="32"/>
        <v>73.042000000000002</v>
      </c>
      <c r="Y35" s="332">
        <f t="shared" si="45"/>
        <v>0</v>
      </c>
      <c r="Z35" s="332">
        <f t="shared" si="33"/>
        <v>0</v>
      </c>
      <c r="AA35" s="332">
        <f t="shared" si="34"/>
        <v>12.474</v>
      </c>
      <c r="AB35" s="332">
        <f t="shared" si="51"/>
        <v>0</v>
      </c>
      <c r="AC35" s="332">
        <f t="shared" si="35"/>
        <v>0</v>
      </c>
      <c r="AD35" s="332">
        <f t="shared" si="36"/>
        <v>20.582000000000001</v>
      </c>
      <c r="AE35" s="332">
        <f t="shared" si="46"/>
        <v>0</v>
      </c>
      <c r="AF35" s="332">
        <f t="shared" si="37"/>
        <v>0</v>
      </c>
      <c r="AG35" s="332">
        <f t="shared" si="38"/>
        <v>62.37</v>
      </c>
      <c r="AH35" s="332">
        <f t="shared" si="47"/>
        <v>0</v>
      </c>
      <c r="AI35" s="332">
        <f t="shared" si="39"/>
        <v>0</v>
      </c>
      <c r="AJ35" s="332">
        <f t="shared" si="40"/>
        <v>83.784000000000006</v>
      </c>
      <c r="AK35" s="332">
        <f t="shared" si="48"/>
        <v>0</v>
      </c>
      <c r="AL35" s="328">
        <f t="shared" si="49"/>
        <v>428.28800000000001</v>
      </c>
      <c r="AM35" s="332">
        <f t="shared" si="50"/>
        <v>0</v>
      </c>
      <c r="AN35" s="332">
        <f t="shared" si="50"/>
        <v>428.28800000000001</v>
      </c>
      <c r="AO35" s="332">
        <f t="shared" si="50"/>
        <v>0</v>
      </c>
      <c r="AP35" s="183">
        <f t="shared" ref="AP35:AP66" si="57">$X$9*(D35+G35+J35)-AL35</f>
        <v>0</v>
      </c>
    </row>
    <row r="36" spans="1:42" ht="15" customHeight="1">
      <c r="A36" s="236"/>
      <c r="B36" s="256"/>
      <c r="C36" s="236" t="s">
        <v>130</v>
      </c>
      <c r="D36" s="257"/>
      <c r="E36" s="238"/>
      <c r="F36" s="238"/>
      <c r="G36" s="239">
        <v>8.1000000000000003E-2</v>
      </c>
      <c r="H36" s="240">
        <f>G36</f>
        <v>8.1000000000000003E-2</v>
      </c>
      <c r="I36" s="178"/>
      <c r="J36" s="237"/>
      <c r="K36" s="240"/>
      <c r="L36" s="240"/>
      <c r="M36" s="239">
        <f t="shared" si="55"/>
        <v>8.1000000000000003E-2</v>
      </c>
      <c r="N36" s="245">
        <f t="shared" si="56"/>
        <v>8.1000000000000003E-2</v>
      </c>
      <c r="O36" s="258"/>
      <c r="P36" s="334"/>
      <c r="Q36" s="332">
        <f t="shared" si="27"/>
        <v>0</v>
      </c>
      <c r="R36" s="332">
        <f t="shared" si="28"/>
        <v>32.692999999999998</v>
      </c>
      <c r="S36" s="332">
        <f t="shared" si="43"/>
        <v>0</v>
      </c>
      <c r="T36" s="332">
        <f t="shared" si="29"/>
        <v>0</v>
      </c>
      <c r="U36" s="332">
        <f t="shared" si="30"/>
        <v>29.033999999999999</v>
      </c>
      <c r="V36" s="332">
        <f t="shared" si="44"/>
        <v>0</v>
      </c>
      <c r="W36" s="332">
        <f t="shared" si="31"/>
        <v>0</v>
      </c>
      <c r="X36" s="332">
        <f t="shared" si="32"/>
        <v>25.611999999999998</v>
      </c>
      <c r="Y36" s="332">
        <f t="shared" si="45"/>
        <v>0</v>
      </c>
      <c r="Z36" s="332">
        <f t="shared" si="33"/>
        <v>0</v>
      </c>
      <c r="AA36" s="332">
        <f t="shared" si="34"/>
        <v>4.3739999999999997</v>
      </c>
      <c r="AB36" s="332">
        <f t="shared" si="51"/>
        <v>0</v>
      </c>
      <c r="AC36" s="332">
        <f t="shared" si="35"/>
        <v>0</v>
      </c>
      <c r="AD36" s="332">
        <f t="shared" si="36"/>
        <v>7.2169999999999996</v>
      </c>
      <c r="AE36" s="332">
        <f t="shared" si="46"/>
        <v>0</v>
      </c>
      <c r="AF36" s="332">
        <f t="shared" si="37"/>
        <v>0</v>
      </c>
      <c r="AG36" s="332">
        <f t="shared" si="38"/>
        <v>21.87</v>
      </c>
      <c r="AH36" s="332">
        <f t="shared" si="47"/>
        <v>0</v>
      </c>
      <c r="AI36" s="332">
        <f t="shared" si="39"/>
        <v>0</v>
      </c>
      <c r="AJ36" s="332">
        <f t="shared" si="40"/>
        <v>29.379000000000001</v>
      </c>
      <c r="AK36" s="332">
        <f t="shared" si="48"/>
        <v>0</v>
      </c>
      <c r="AL36" s="328">
        <f t="shared" si="49"/>
        <v>150.179</v>
      </c>
      <c r="AM36" s="332">
        <f t="shared" si="50"/>
        <v>0</v>
      </c>
      <c r="AN36" s="332">
        <f t="shared" si="50"/>
        <v>150.179</v>
      </c>
      <c r="AO36" s="332">
        <f t="shared" si="50"/>
        <v>0</v>
      </c>
      <c r="AP36" s="183">
        <f t="shared" si="57"/>
        <v>0</v>
      </c>
    </row>
    <row r="37" spans="1:42" ht="15" customHeight="1">
      <c r="A37" s="236"/>
      <c r="B37" s="256"/>
      <c r="C37" s="236" t="s">
        <v>131</v>
      </c>
      <c r="D37" s="257"/>
      <c r="E37" s="238"/>
      <c r="F37" s="238"/>
      <c r="G37" s="239">
        <v>7.8100000000000003E-2</v>
      </c>
      <c r="H37" s="240">
        <v>7.8100000000000003E-2</v>
      </c>
      <c r="I37" s="240"/>
      <c r="J37" s="237"/>
      <c r="K37" s="240"/>
      <c r="L37" s="240"/>
      <c r="M37" s="239">
        <f t="shared" si="55"/>
        <v>7.8100000000000003E-2</v>
      </c>
      <c r="N37" s="245">
        <f t="shared" si="56"/>
        <v>7.8100000000000003E-2</v>
      </c>
      <c r="O37" s="258"/>
      <c r="P37" s="334"/>
      <c r="Q37" s="332">
        <f t="shared" si="27"/>
        <v>0</v>
      </c>
      <c r="R37" s="332">
        <f t="shared" si="28"/>
        <v>31.523</v>
      </c>
      <c r="S37" s="332">
        <f t="shared" si="43"/>
        <v>0</v>
      </c>
      <c r="T37" s="332">
        <f t="shared" si="29"/>
        <v>0</v>
      </c>
      <c r="U37" s="332">
        <f t="shared" si="30"/>
        <v>27.994</v>
      </c>
      <c r="V37" s="332">
        <f t="shared" si="44"/>
        <v>0</v>
      </c>
      <c r="W37" s="332">
        <f t="shared" si="31"/>
        <v>0</v>
      </c>
      <c r="X37" s="332">
        <f t="shared" si="32"/>
        <v>24.695</v>
      </c>
      <c r="Y37" s="332">
        <f t="shared" si="45"/>
        <v>0</v>
      </c>
      <c r="Z37" s="332">
        <f t="shared" si="33"/>
        <v>0</v>
      </c>
      <c r="AA37" s="332">
        <f t="shared" si="34"/>
        <v>4.2169999999999996</v>
      </c>
      <c r="AB37" s="332">
        <f t="shared" si="51"/>
        <v>0</v>
      </c>
      <c r="AC37" s="332">
        <f t="shared" si="35"/>
        <v>0</v>
      </c>
      <c r="AD37" s="332">
        <f t="shared" si="36"/>
        <v>6.9589999999999996</v>
      </c>
      <c r="AE37" s="332">
        <f t="shared" si="46"/>
        <v>0</v>
      </c>
      <c r="AF37" s="332">
        <f t="shared" si="37"/>
        <v>0</v>
      </c>
      <c r="AG37" s="332">
        <f t="shared" si="38"/>
        <v>21.087</v>
      </c>
      <c r="AH37" s="332">
        <f t="shared" si="47"/>
        <v>0</v>
      </c>
      <c r="AI37" s="332">
        <f t="shared" si="39"/>
        <v>0</v>
      </c>
      <c r="AJ37" s="332">
        <f t="shared" si="40"/>
        <v>28.327000000000002</v>
      </c>
      <c r="AK37" s="332">
        <f t="shared" si="48"/>
        <v>0</v>
      </c>
      <c r="AL37" s="328">
        <f t="shared" si="49"/>
        <v>144.80199999999999</v>
      </c>
      <c r="AM37" s="332">
        <f t="shared" si="50"/>
        <v>0</v>
      </c>
      <c r="AN37" s="332">
        <f t="shared" si="50"/>
        <v>144.80199999999999</v>
      </c>
      <c r="AO37" s="332">
        <f t="shared" si="50"/>
        <v>0</v>
      </c>
      <c r="AP37" s="183">
        <f t="shared" si="57"/>
        <v>0</v>
      </c>
    </row>
    <row r="38" spans="1:42" ht="15" customHeight="1">
      <c r="A38" s="236"/>
      <c r="B38" s="256"/>
      <c r="C38" s="236" t="s">
        <v>132</v>
      </c>
      <c r="D38" s="257"/>
      <c r="E38" s="238"/>
      <c r="F38" s="238"/>
      <c r="G38" s="239">
        <v>0.41349999999999998</v>
      </c>
      <c r="H38" s="240">
        <v>0.41349999999999998</v>
      </c>
      <c r="I38" s="240"/>
      <c r="J38" s="237"/>
      <c r="K38" s="240"/>
      <c r="L38" s="240"/>
      <c r="M38" s="239">
        <f t="shared" si="55"/>
        <v>0.41349999999999998</v>
      </c>
      <c r="N38" s="245">
        <f t="shared" si="56"/>
        <v>0.41349999999999998</v>
      </c>
      <c r="O38" s="258"/>
      <c r="P38" s="334"/>
      <c r="Q38" s="332">
        <f t="shared" si="27"/>
        <v>0</v>
      </c>
      <c r="R38" s="332">
        <f t="shared" si="28"/>
        <v>166.89699999999999</v>
      </c>
      <c r="S38" s="332">
        <f t="shared" si="43"/>
        <v>0</v>
      </c>
      <c r="T38" s="332">
        <f t="shared" si="29"/>
        <v>0</v>
      </c>
      <c r="U38" s="332">
        <f t="shared" si="30"/>
        <v>148.215</v>
      </c>
      <c r="V38" s="332">
        <f t="shared" si="44"/>
        <v>0</v>
      </c>
      <c r="W38" s="332">
        <f t="shared" si="31"/>
        <v>0</v>
      </c>
      <c r="X38" s="332">
        <f t="shared" si="32"/>
        <v>130.749</v>
      </c>
      <c r="Y38" s="332">
        <f t="shared" si="45"/>
        <v>0</v>
      </c>
      <c r="Z38" s="332">
        <f t="shared" si="33"/>
        <v>0</v>
      </c>
      <c r="AA38" s="332">
        <f t="shared" si="34"/>
        <v>22.329000000000001</v>
      </c>
      <c r="AB38" s="332">
        <f t="shared" si="51"/>
        <v>0</v>
      </c>
      <c r="AC38" s="332">
        <f t="shared" si="35"/>
        <v>0</v>
      </c>
      <c r="AD38" s="332">
        <f t="shared" si="36"/>
        <v>36.843000000000004</v>
      </c>
      <c r="AE38" s="332">
        <f t="shared" si="46"/>
        <v>0</v>
      </c>
      <c r="AF38" s="332">
        <f t="shared" si="37"/>
        <v>0</v>
      </c>
      <c r="AG38" s="332">
        <f t="shared" si="38"/>
        <v>111.645</v>
      </c>
      <c r="AH38" s="332">
        <f t="shared" si="47"/>
        <v>0</v>
      </c>
      <c r="AI38" s="332">
        <f t="shared" si="39"/>
        <v>0</v>
      </c>
      <c r="AJ38" s="332">
        <f t="shared" si="40"/>
        <v>149.976</v>
      </c>
      <c r="AK38" s="332">
        <f t="shared" si="48"/>
        <v>0</v>
      </c>
      <c r="AL38" s="328">
        <f t="shared" si="49"/>
        <v>766.654</v>
      </c>
      <c r="AM38" s="332">
        <f t="shared" si="50"/>
        <v>0</v>
      </c>
      <c r="AN38" s="332">
        <f t="shared" si="50"/>
        <v>766.654</v>
      </c>
      <c r="AO38" s="332">
        <f t="shared" si="50"/>
        <v>0</v>
      </c>
      <c r="AP38" s="183">
        <f t="shared" si="57"/>
        <v>0</v>
      </c>
    </row>
    <row r="39" spans="1:42" ht="15" customHeight="1">
      <c r="A39" s="236"/>
      <c r="B39" s="256"/>
      <c r="C39" s="236" t="s">
        <v>133</v>
      </c>
      <c r="D39" s="257"/>
      <c r="E39" s="238"/>
      <c r="F39" s="238"/>
      <c r="G39" s="239">
        <v>4.2999999999999997E-2</v>
      </c>
      <c r="H39" s="240">
        <v>4.2999999999999997E-2</v>
      </c>
      <c r="I39" s="240"/>
      <c r="J39" s="237"/>
      <c r="K39" s="240"/>
      <c r="L39" s="240"/>
      <c r="M39" s="239">
        <f t="shared" si="55"/>
        <v>4.2999999999999997E-2</v>
      </c>
      <c r="N39" s="245">
        <f t="shared" si="56"/>
        <v>4.2999999999999997E-2</v>
      </c>
      <c r="O39" s="258"/>
      <c r="P39" s="334"/>
      <c r="Q39" s="332">
        <f t="shared" si="27"/>
        <v>0</v>
      </c>
      <c r="R39" s="332">
        <f t="shared" si="28"/>
        <v>17.356000000000002</v>
      </c>
      <c r="S39" s="332">
        <f t="shared" si="43"/>
        <v>0</v>
      </c>
      <c r="T39" s="332">
        <f t="shared" si="29"/>
        <v>0</v>
      </c>
      <c r="U39" s="332">
        <f t="shared" si="30"/>
        <v>15.413</v>
      </c>
      <c r="V39" s="332">
        <f t="shared" si="44"/>
        <v>0</v>
      </c>
      <c r="W39" s="332">
        <f t="shared" si="31"/>
        <v>0</v>
      </c>
      <c r="X39" s="332">
        <f t="shared" si="32"/>
        <v>13.597</v>
      </c>
      <c r="Y39" s="332">
        <f t="shared" si="45"/>
        <v>0</v>
      </c>
      <c r="Z39" s="332">
        <f t="shared" si="33"/>
        <v>0</v>
      </c>
      <c r="AA39" s="332">
        <f t="shared" si="34"/>
        <v>2.3220000000000001</v>
      </c>
      <c r="AB39" s="332">
        <f t="shared" si="51"/>
        <v>0</v>
      </c>
      <c r="AC39" s="332">
        <f t="shared" si="35"/>
        <v>0</v>
      </c>
      <c r="AD39" s="332">
        <f t="shared" si="36"/>
        <v>3.831</v>
      </c>
      <c r="AE39" s="332">
        <f t="shared" si="46"/>
        <v>0</v>
      </c>
      <c r="AF39" s="332">
        <f t="shared" si="37"/>
        <v>0</v>
      </c>
      <c r="AG39" s="332">
        <f t="shared" si="38"/>
        <v>11.61</v>
      </c>
      <c r="AH39" s="332">
        <f t="shared" si="47"/>
        <v>0</v>
      </c>
      <c r="AI39" s="332">
        <f t="shared" si="39"/>
        <v>0</v>
      </c>
      <c r="AJ39" s="332">
        <f t="shared" si="40"/>
        <v>15.596</v>
      </c>
      <c r="AK39" s="332">
        <f t="shared" si="48"/>
        <v>0</v>
      </c>
      <c r="AL39" s="328">
        <f t="shared" si="49"/>
        <v>79.724999999999994</v>
      </c>
      <c r="AM39" s="332">
        <f t="shared" si="50"/>
        <v>0</v>
      </c>
      <c r="AN39" s="332">
        <f t="shared" si="50"/>
        <v>79.724999999999994</v>
      </c>
      <c r="AO39" s="332">
        <f t="shared" si="50"/>
        <v>0</v>
      </c>
      <c r="AP39" s="183">
        <f t="shared" si="57"/>
        <v>0</v>
      </c>
    </row>
    <row r="40" spans="1:42" ht="15" customHeight="1">
      <c r="A40" s="236"/>
      <c r="B40" s="256"/>
      <c r="C40" s="236" t="s">
        <v>135</v>
      </c>
      <c r="D40" s="257"/>
      <c r="E40" s="238"/>
      <c r="F40" s="238"/>
      <c r="G40" s="239">
        <v>3.6700000000000003E-2</v>
      </c>
      <c r="H40" s="240">
        <f>G40</f>
        <v>3.6700000000000003E-2</v>
      </c>
      <c r="I40" s="178"/>
      <c r="J40" s="237"/>
      <c r="K40" s="240"/>
      <c r="L40" s="240"/>
      <c r="M40" s="239">
        <f t="shared" si="55"/>
        <v>3.6700000000000003E-2</v>
      </c>
      <c r="N40" s="245">
        <f t="shared" si="56"/>
        <v>3.6700000000000003E-2</v>
      </c>
      <c r="O40" s="249"/>
      <c r="P40" s="334"/>
      <c r="Q40" s="332">
        <f t="shared" si="27"/>
        <v>0</v>
      </c>
      <c r="R40" s="332">
        <f t="shared" si="28"/>
        <v>14.813000000000001</v>
      </c>
      <c r="S40" s="332">
        <f t="shared" si="43"/>
        <v>0</v>
      </c>
      <c r="T40" s="332">
        <f t="shared" si="29"/>
        <v>0</v>
      </c>
      <c r="U40" s="332">
        <f t="shared" si="30"/>
        <v>13.154999999999999</v>
      </c>
      <c r="V40" s="332">
        <f t="shared" si="44"/>
        <v>0</v>
      </c>
      <c r="W40" s="332">
        <f t="shared" si="31"/>
        <v>0</v>
      </c>
      <c r="X40" s="332">
        <f t="shared" si="32"/>
        <v>11.605</v>
      </c>
      <c r="Y40" s="332">
        <f t="shared" si="45"/>
        <v>0</v>
      </c>
      <c r="Z40" s="332">
        <f t="shared" si="33"/>
        <v>0</v>
      </c>
      <c r="AA40" s="332">
        <f t="shared" si="34"/>
        <v>1.982</v>
      </c>
      <c r="AB40" s="332">
        <f t="shared" si="51"/>
        <v>0</v>
      </c>
      <c r="AC40" s="332">
        <f t="shared" si="35"/>
        <v>0</v>
      </c>
      <c r="AD40" s="332">
        <f t="shared" si="36"/>
        <v>3.27</v>
      </c>
      <c r="AE40" s="332">
        <f t="shared" si="46"/>
        <v>0</v>
      </c>
      <c r="AF40" s="332">
        <f t="shared" si="37"/>
        <v>0</v>
      </c>
      <c r="AG40" s="332">
        <f t="shared" si="38"/>
        <v>9.9090000000000007</v>
      </c>
      <c r="AH40" s="332">
        <f>J40*$V$9</f>
        <v>0</v>
      </c>
      <c r="AI40" s="332">
        <f t="shared" si="39"/>
        <v>0</v>
      </c>
      <c r="AJ40" s="332">
        <f t="shared" si="40"/>
        <v>13.311</v>
      </c>
      <c r="AK40" s="332">
        <f>J40*$W$9</f>
        <v>0</v>
      </c>
      <c r="AL40" s="328">
        <f t="shared" si="49"/>
        <v>68.045000000000002</v>
      </c>
      <c r="AM40" s="332">
        <f t="shared" si="50"/>
        <v>0</v>
      </c>
      <c r="AN40" s="332">
        <f t="shared" si="50"/>
        <v>68.045000000000002</v>
      </c>
      <c r="AO40" s="332">
        <f t="shared" si="50"/>
        <v>0</v>
      </c>
      <c r="AP40" s="183">
        <f t="shared" si="57"/>
        <v>0</v>
      </c>
    </row>
    <row r="41" spans="1:42" ht="14.25" customHeight="1">
      <c r="A41" s="236"/>
      <c r="B41" s="256"/>
      <c r="C41" s="236" t="s">
        <v>136</v>
      </c>
      <c r="D41" s="257"/>
      <c r="E41" s="238"/>
      <c r="F41" s="238"/>
      <c r="G41" s="239">
        <v>3.7999999999999999E-2</v>
      </c>
      <c r="H41" s="245">
        <f>G41</f>
        <v>3.7999999999999999E-2</v>
      </c>
      <c r="I41" s="240"/>
      <c r="J41" s="237"/>
      <c r="K41" s="240"/>
      <c r="L41" s="240"/>
      <c r="M41" s="239">
        <f t="shared" si="55"/>
        <v>3.7999999999999999E-2</v>
      </c>
      <c r="N41" s="245">
        <f t="shared" si="56"/>
        <v>3.7999999999999999E-2</v>
      </c>
      <c r="O41" s="249"/>
      <c r="P41" s="334"/>
      <c r="Q41" s="332">
        <f t="shared" si="27"/>
        <v>0</v>
      </c>
      <c r="R41" s="332">
        <f t="shared" si="28"/>
        <v>15.337999999999999</v>
      </c>
      <c r="S41" s="332">
        <f t="shared" si="43"/>
        <v>0</v>
      </c>
      <c r="T41" s="332">
        <f t="shared" si="29"/>
        <v>0</v>
      </c>
      <c r="U41" s="332">
        <f t="shared" si="30"/>
        <v>13.621</v>
      </c>
      <c r="V41" s="332">
        <f t="shared" si="44"/>
        <v>0</v>
      </c>
      <c r="W41" s="332">
        <f t="shared" si="31"/>
        <v>0</v>
      </c>
      <c r="X41" s="332">
        <f t="shared" si="32"/>
        <v>12.016</v>
      </c>
      <c r="Y41" s="332">
        <f t="shared" si="45"/>
        <v>0</v>
      </c>
      <c r="Z41" s="332">
        <f t="shared" si="33"/>
        <v>0</v>
      </c>
      <c r="AA41" s="332">
        <f t="shared" si="34"/>
        <v>2.052</v>
      </c>
      <c r="AB41" s="332">
        <f t="shared" si="51"/>
        <v>0</v>
      </c>
      <c r="AC41" s="332">
        <f t="shared" si="35"/>
        <v>0</v>
      </c>
      <c r="AD41" s="332">
        <f t="shared" si="36"/>
        <v>3.3860000000000001</v>
      </c>
      <c r="AE41" s="332">
        <f t="shared" si="46"/>
        <v>0</v>
      </c>
      <c r="AF41" s="332">
        <f t="shared" si="37"/>
        <v>0</v>
      </c>
      <c r="AG41" s="332">
        <f t="shared" si="38"/>
        <v>10.26</v>
      </c>
      <c r="AH41" s="332">
        <f>J41*$V$9</f>
        <v>0</v>
      </c>
      <c r="AI41" s="332">
        <f t="shared" si="39"/>
        <v>0</v>
      </c>
      <c r="AJ41" s="332">
        <f t="shared" si="40"/>
        <v>13.782999999999999</v>
      </c>
      <c r="AK41" s="332">
        <f>J41*$W$9</f>
        <v>0</v>
      </c>
      <c r="AL41" s="328">
        <f t="shared" si="49"/>
        <v>70.456000000000003</v>
      </c>
      <c r="AM41" s="332">
        <f t="shared" ref="AM41:AO43" si="58">Q41+T41+W41+Z41+AC41+AF41+AI41</f>
        <v>0</v>
      </c>
      <c r="AN41" s="332">
        <f t="shared" si="58"/>
        <v>70.456000000000003</v>
      </c>
      <c r="AO41" s="332">
        <f t="shared" si="58"/>
        <v>0</v>
      </c>
      <c r="AP41" s="183">
        <f t="shared" si="57"/>
        <v>0</v>
      </c>
    </row>
    <row r="42" spans="1:42" ht="15" customHeight="1">
      <c r="A42" s="236"/>
      <c r="B42" s="256"/>
      <c r="C42" s="236" t="s">
        <v>137</v>
      </c>
      <c r="D42" s="257"/>
      <c r="E42" s="238"/>
      <c r="F42" s="238"/>
      <c r="G42" s="237"/>
      <c r="H42" s="240"/>
      <c r="I42" s="240"/>
      <c r="J42" s="237">
        <v>1.4E-2</v>
      </c>
      <c r="K42" s="240">
        <f>J42</f>
        <v>1.4E-2</v>
      </c>
      <c r="L42" s="240"/>
      <c r="M42" s="239">
        <f>J42</f>
        <v>1.4E-2</v>
      </c>
      <c r="N42" s="240">
        <f>K42</f>
        <v>1.4E-2</v>
      </c>
      <c r="O42" s="249"/>
      <c r="P42" s="334"/>
      <c r="Q42" s="332">
        <f t="shared" si="27"/>
        <v>0</v>
      </c>
      <c r="R42" s="332">
        <f t="shared" si="28"/>
        <v>0</v>
      </c>
      <c r="S42" s="332">
        <f t="shared" si="43"/>
        <v>5.6509999999999998</v>
      </c>
      <c r="T42" s="332">
        <f t="shared" si="29"/>
        <v>0</v>
      </c>
      <c r="U42" s="332">
        <f t="shared" si="30"/>
        <v>0</v>
      </c>
      <c r="V42" s="332">
        <f t="shared" si="44"/>
        <v>5.0179999999999998</v>
      </c>
      <c r="W42" s="332">
        <f t="shared" si="31"/>
        <v>0</v>
      </c>
      <c r="X42" s="332">
        <f t="shared" si="32"/>
        <v>0</v>
      </c>
      <c r="Y42" s="332">
        <f t="shared" si="45"/>
        <v>4.4269999999999996</v>
      </c>
      <c r="Z42" s="332">
        <f t="shared" si="33"/>
        <v>0</v>
      </c>
      <c r="AA42" s="332">
        <f t="shared" si="34"/>
        <v>0</v>
      </c>
      <c r="AB42" s="332">
        <v>0</v>
      </c>
      <c r="AC42" s="332">
        <v>0</v>
      </c>
      <c r="AD42" s="332">
        <f>L42*$T$9</f>
        <v>0</v>
      </c>
      <c r="AE42" s="332">
        <v>0</v>
      </c>
      <c r="AF42" s="332">
        <f t="shared" si="37"/>
        <v>0</v>
      </c>
      <c r="AG42" s="332">
        <f t="shared" si="38"/>
        <v>0</v>
      </c>
      <c r="AH42" s="332">
        <f>J42*$V$9</f>
        <v>3.78</v>
      </c>
      <c r="AI42" s="332">
        <f t="shared" si="39"/>
        <v>0</v>
      </c>
      <c r="AJ42" s="332">
        <f t="shared" si="40"/>
        <v>0</v>
      </c>
      <c r="AK42" s="332">
        <f>J42*$W$9</f>
        <v>5.0780000000000003</v>
      </c>
      <c r="AL42" s="328">
        <f t="shared" si="49"/>
        <v>23.954000000000001</v>
      </c>
      <c r="AM42" s="332">
        <f t="shared" si="58"/>
        <v>0</v>
      </c>
      <c r="AN42" s="332">
        <f t="shared" si="58"/>
        <v>0</v>
      </c>
      <c r="AO42" s="332">
        <f t="shared" si="58"/>
        <v>23.954000000000001</v>
      </c>
      <c r="AP42" s="183">
        <f t="shared" si="57"/>
        <v>2</v>
      </c>
    </row>
    <row r="43" spans="1:42" ht="15" customHeight="1" thickBot="1">
      <c r="A43" s="236"/>
      <c r="B43" s="256"/>
      <c r="C43" s="236" t="s">
        <v>138</v>
      </c>
      <c r="D43" s="257"/>
      <c r="E43" s="238"/>
      <c r="F43" s="238"/>
      <c r="G43" s="237"/>
      <c r="H43" s="240"/>
      <c r="I43" s="240"/>
      <c r="J43" s="237">
        <v>0.13700000000000001</v>
      </c>
      <c r="K43" s="240">
        <f>J43</f>
        <v>0.13700000000000001</v>
      </c>
      <c r="L43" s="240"/>
      <c r="M43" s="239">
        <f>J43</f>
        <v>0.13700000000000001</v>
      </c>
      <c r="N43" s="240">
        <f>J43</f>
        <v>0.13700000000000001</v>
      </c>
      <c r="O43" s="249"/>
      <c r="P43" s="334"/>
      <c r="Q43" s="332">
        <f t="shared" si="27"/>
        <v>0</v>
      </c>
      <c r="R43" s="332">
        <f t="shared" si="28"/>
        <v>0</v>
      </c>
      <c r="S43" s="332">
        <f t="shared" si="43"/>
        <v>55.295999999999999</v>
      </c>
      <c r="T43" s="332">
        <f t="shared" si="29"/>
        <v>0</v>
      </c>
      <c r="U43" s="332">
        <f t="shared" si="30"/>
        <v>0</v>
      </c>
      <c r="V43" s="332">
        <v>40.412999999999997</v>
      </c>
      <c r="W43" s="332">
        <f t="shared" si="31"/>
        <v>0</v>
      </c>
      <c r="X43" s="332">
        <f t="shared" si="32"/>
        <v>0</v>
      </c>
      <c r="Y43" s="332">
        <v>23.318999999999999</v>
      </c>
      <c r="Z43" s="332">
        <f t="shared" si="33"/>
        <v>0</v>
      </c>
      <c r="AA43" s="332">
        <f t="shared" si="34"/>
        <v>0</v>
      </c>
      <c r="AB43" s="332">
        <v>0</v>
      </c>
      <c r="AC43" s="332">
        <v>0</v>
      </c>
      <c r="AD43" s="332">
        <f>L43*$T$9</f>
        <v>0</v>
      </c>
      <c r="AE43" s="332">
        <v>0</v>
      </c>
      <c r="AF43" s="332">
        <f t="shared" si="37"/>
        <v>0</v>
      </c>
      <c r="AG43" s="332">
        <f t="shared" si="38"/>
        <v>0</v>
      </c>
      <c r="AH43" s="332">
        <v>26.99</v>
      </c>
      <c r="AI43" s="332">
        <f t="shared" si="39"/>
        <v>0</v>
      </c>
      <c r="AJ43" s="332">
        <f t="shared" si="40"/>
        <v>0</v>
      </c>
      <c r="AK43" s="332">
        <v>39.69</v>
      </c>
      <c r="AL43" s="328">
        <f t="shared" si="49"/>
        <v>185.708</v>
      </c>
      <c r="AM43" s="332">
        <f t="shared" si="58"/>
        <v>0</v>
      </c>
      <c r="AN43" s="332">
        <f t="shared" si="58"/>
        <v>0</v>
      </c>
      <c r="AO43" s="332">
        <f t="shared" si="58"/>
        <v>185.708</v>
      </c>
      <c r="AP43" s="183">
        <f t="shared" si="57"/>
        <v>68.3</v>
      </c>
    </row>
    <row r="44" spans="1:42" ht="18" customHeight="1" thickBot="1">
      <c r="A44" s="246"/>
      <c r="B44" s="4" t="s">
        <v>139</v>
      </c>
      <c r="C44" s="259"/>
      <c r="D44" s="7">
        <f t="shared" ref="D44:L44" si="59">SUM(D28:D43)</f>
        <v>0.111</v>
      </c>
      <c r="E44" s="7">
        <f t="shared" si="59"/>
        <v>0</v>
      </c>
      <c r="F44" s="7">
        <f t="shared" si="59"/>
        <v>0.111</v>
      </c>
      <c r="G44" s="9">
        <f t="shared" si="59"/>
        <v>1.0843</v>
      </c>
      <c r="H44" s="9">
        <f t="shared" si="59"/>
        <v>1.0843</v>
      </c>
      <c r="I44" s="9">
        <f t="shared" si="59"/>
        <v>0</v>
      </c>
      <c r="J44" s="7">
        <f t="shared" si="59"/>
        <v>0.151</v>
      </c>
      <c r="K44" s="7">
        <f t="shared" si="59"/>
        <v>0.151</v>
      </c>
      <c r="L44" s="7">
        <f t="shared" si="59"/>
        <v>0</v>
      </c>
      <c r="M44" s="9">
        <f>D44+G44+J44</f>
        <v>1.3463000000000001</v>
      </c>
      <c r="N44" s="5">
        <f>H44+K44</f>
        <v>1.2353000000000001</v>
      </c>
      <c r="O44" s="9">
        <f>F44+I44+L44</f>
        <v>0.111</v>
      </c>
      <c r="P44" s="335"/>
      <c r="Q44" s="335">
        <f>SUM(Q28:Q43)</f>
        <v>44.802999999999997</v>
      </c>
      <c r="R44" s="335">
        <f>SUM(R28:R43)</f>
        <v>437.64600000000002</v>
      </c>
      <c r="S44" s="335">
        <f t="shared" ref="S44:AO44" si="60">SUM(S28:S43)</f>
        <v>60.947000000000003</v>
      </c>
      <c r="T44" s="335">
        <f t="shared" si="60"/>
        <v>39.786999999999999</v>
      </c>
      <c r="U44" s="335">
        <f t="shared" si="60"/>
        <v>388.65800000000002</v>
      </c>
      <c r="V44" s="335">
        <f t="shared" si="60"/>
        <v>45.430999999999997</v>
      </c>
      <c r="W44" s="335">
        <f t="shared" si="60"/>
        <v>35.097999999999999</v>
      </c>
      <c r="X44" s="335">
        <f t="shared" si="60"/>
        <v>342.85700000000003</v>
      </c>
      <c r="Y44" s="335">
        <f t="shared" si="60"/>
        <v>27.745999999999999</v>
      </c>
      <c r="Z44" s="335">
        <f t="shared" si="60"/>
        <v>5.9939999999999998</v>
      </c>
      <c r="AA44" s="335">
        <f t="shared" si="60"/>
        <v>58.552</v>
      </c>
      <c r="AB44" s="335">
        <f t="shared" si="60"/>
        <v>0</v>
      </c>
      <c r="AC44" s="335">
        <f t="shared" si="60"/>
        <v>9.891</v>
      </c>
      <c r="AD44" s="335">
        <f t="shared" si="60"/>
        <v>96.611000000000004</v>
      </c>
      <c r="AE44" s="335">
        <f t="shared" si="60"/>
        <v>0</v>
      </c>
      <c r="AF44" s="335">
        <f t="shared" si="60"/>
        <v>29.97</v>
      </c>
      <c r="AG44" s="335">
        <f t="shared" si="60"/>
        <v>292.76100000000002</v>
      </c>
      <c r="AH44" s="335">
        <f t="shared" si="60"/>
        <v>30.77</v>
      </c>
      <c r="AI44" s="335">
        <f t="shared" si="60"/>
        <v>40.26</v>
      </c>
      <c r="AJ44" s="335">
        <f t="shared" si="60"/>
        <v>393.27600000000001</v>
      </c>
      <c r="AK44" s="335">
        <f t="shared" si="60"/>
        <v>44.768000000000001</v>
      </c>
      <c r="AL44" s="335">
        <f t="shared" si="60"/>
        <v>2425.826</v>
      </c>
      <c r="AM44" s="335">
        <f t="shared" si="60"/>
        <v>205.803</v>
      </c>
      <c r="AN44" s="335">
        <f t="shared" si="60"/>
        <v>2010.3610000000001</v>
      </c>
      <c r="AO44" s="335">
        <f t="shared" si="60"/>
        <v>209.66200000000001</v>
      </c>
      <c r="AP44" s="183" t="e">
        <f>$X$9*(D44+G44+J44)-#REF!</f>
        <v>#REF!</v>
      </c>
    </row>
    <row r="45" spans="1:42" ht="30.75">
      <c r="A45" s="260">
        <v>19</v>
      </c>
      <c r="B45" s="260" t="s">
        <v>186</v>
      </c>
      <c r="C45" s="261" t="s">
        <v>140</v>
      </c>
      <c r="D45" s="262">
        <v>0.124</v>
      </c>
      <c r="E45" s="263"/>
      <c r="F45" s="264">
        <f>D45</f>
        <v>0.124</v>
      </c>
      <c r="G45" s="265"/>
      <c r="H45" s="266"/>
      <c r="I45" s="266"/>
      <c r="J45" s="265"/>
      <c r="K45" s="266"/>
      <c r="L45" s="266"/>
      <c r="M45" s="267">
        <f>D45</f>
        <v>0.124</v>
      </c>
      <c r="N45" s="268"/>
      <c r="O45" s="336">
        <f>F45</f>
        <v>0.124</v>
      </c>
      <c r="P45" s="191"/>
      <c r="Q45" s="332">
        <f>D45*$Q$9</f>
        <v>50.048999999999999</v>
      </c>
      <c r="R45" s="332">
        <f>G45*$Q$9</f>
        <v>0</v>
      </c>
      <c r="S45" s="332">
        <f>J45*$Q$9</f>
        <v>0</v>
      </c>
      <c r="T45" s="332">
        <f>D45*$R$9</f>
        <v>44.447000000000003</v>
      </c>
      <c r="U45" s="332">
        <f>G45*$R$9</f>
        <v>0</v>
      </c>
      <c r="V45" s="332">
        <f>J45*$R$9</f>
        <v>0</v>
      </c>
      <c r="W45" s="332">
        <f>D45*$S$9</f>
        <v>39.209000000000003</v>
      </c>
      <c r="X45" s="332">
        <f>G45*$S$9</f>
        <v>0</v>
      </c>
      <c r="Y45" s="332">
        <f>J45*$S$9</f>
        <v>0</v>
      </c>
      <c r="Z45" s="332">
        <f>D45*$T$9</f>
        <v>6.6959999999999997</v>
      </c>
      <c r="AA45" s="332">
        <f>G45*$T$9</f>
        <v>0</v>
      </c>
      <c r="AB45" s="332">
        <f>J45*$T$9</f>
        <v>0</v>
      </c>
      <c r="AC45" s="332">
        <f>D45*$U$9</f>
        <v>11.048</v>
      </c>
      <c r="AD45" s="332">
        <f>G45*$U$9</f>
        <v>0</v>
      </c>
      <c r="AE45" s="332">
        <f>J45*$U$9</f>
        <v>0</v>
      </c>
      <c r="AF45" s="332">
        <f>D45*$V$9</f>
        <v>33.479999999999997</v>
      </c>
      <c r="AG45" s="332">
        <f>G45*$V$9</f>
        <v>0</v>
      </c>
      <c r="AH45" s="332">
        <f>J45*$V$9</f>
        <v>0</v>
      </c>
      <c r="AI45" s="332">
        <f>D45*$W$9</f>
        <v>44.975000000000001</v>
      </c>
      <c r="AJ45" s="332">
        <f>G45*$W$9</f>
        <v>0</v>
      </c>
      <c r="AK45" s="332">
        <f>J45*$W$9</f>
        <v>0</v>
      </c>
      <c r="AL45" s="328">
        <f>AM45+AN45+AO45</f>
        <v>229.904</v>
      </c>
      <c r="AM45" s="332">
        <f t="shared" ref="AM45:AO54" si="61">Q45+T45+W45+Z45+AC45+AF45+AI45</f>
        <v>229.904</v>
      </c>
      <c r="AN45" s="332">
        <f t="shared" si="61"/>
        <v>0</v>
      </c>
      <c r="AO45" s="332">
        <f t="shared" si="61"/>
        <v>0</v>
      </c>
      <c r="AP45" s="183">
        <f>$X$9*(D45+G45+J45)-AL44</f>
        <v>-2195.92</v>
      </c>
    </row>
    <row r="46" spans="1:42" ht="15.75">
      <c r="A46" s="236"/>
      <c r="B46" s="256"/>
      <c r="C46" s="236" t="s">
        <v>141</v>
      </c>
      <c r="D46" s="237"/>
      <c r="E46" s="240"/>
      <c r="F46" s="240"/>
      <c r="G46" s="237">
        <v>0.59</v>
      </c>
      <c r="H46" s="240">
        <v>0.59</v>
      </c>
      <c r="I46" s="240"/>
      <c r="J46" s="237"/>
      <c r="K46" s="240"/>
      <c r="L46" s="240"/>
      <c r="M46" s="237">
        <v>0.59</v>
      </c>
      <c r="N46" s="240">
        <v>0.59</v>
      </c>
      <c r="O46" s="337"/>
      <c r="P46" s="338"/>
      <c r="Q46" s="339">
        <f t="shared" ref="Q46:Q54" si="62">D46*$Q$9</f>
        <v>0</v>
      </c>
      <c r="R46" s="340">
        <f t="shared" ref="R46:R54" si="63">G46*$Q$9</f>
        <v>238.136</v>
      </c>
      <c r="S46" s="339">
        <f>J46*$Q$9</f>
        <v>0</v>
      </c>
      <c r="T46" s="341">
        <f t="shared" ref="T46:T54" si="64">D46*$R$9</f>
        <v>0</v>
      </c>
      <c r="U46" s="342">
        <f t="shared" ref="U46:U54" si="65">G46*$R$9</f>
        <v>211.48</v>
      </c>
      <c r="V46" s="342">
        <f>J46*$R$9</f>
        <v>0</v>
      </c>
      <c r="W46" s="342">
        <f t="shared" ref="W46:W54" si="66">D46*$S$9</f>
        <v>0</v>
      </c>
      <c r="X46" s="342">
        <f t="shared" ref="X46:X54" si="67">G46*$S$9</f>
        <v>186.55799999999999</v>
      </c>
      <c r="Y46" s="342">
        <f>J46*$S$9</f>
        <v>0</v>
      </c>
      <c r="Z46" s="342">
        <f t="shared" ref="Z46:Z54" si="68">D46*$T$9</f>
        <v>0</v>
      </c>
      <c r="AA46" s="342">
        <f t="shared" ref="AA46:AA54" si="69">G46*$T$9</f>
        <v>31.86</v>
      </c>
      <c r="AB46" s="342">
        <f>J46*$T$9</f>
        <v>0</v>
      </c>
      <c r="AC46" s="342">
        <f t="shared" ref="AC46:AC54" si="70">D46*$U$9</f>
        <v>0</v>
      </c>
      <c r="AD46" s="342">
        <f t="shared" ref="AD46:AD54" si="71">G46*$U$9</f>
        <v>52.569000000000003</v>
      </c>
      <c r="AE46" s="342">
        <f>J46*$U$9</f>
        <v>0</v>
      </c>
      <c r="AF46" s="342">
        <f t="shared" ref="AF46:AF54" si="72">D46*$V$9</f>
        <v>0</v>
      </c>
      <c r="AG46" s="342">
        <f t="shared" ref="AG46:AG54" si="73">G46*$V$9</f>
        <v>159.30000000000001</v>
      </c>
      <c r="AH46" s="342">
        <f t="shared" ref="AH46:AH54" si="74">J46*$V$9</f>
        <v>0</v>
      </c>
      <c r="AI46" s="342">
        <f t="shared" ref="AI46:AI54" si="75">D46*$W$9</f>
        <v>0</v>
      </c>
      <c r="AJ46" s="342">
        <f t="shared" ref="AJ46:AJ54" si="76">G46*$W$9</f>
        <v>213.99299999999999</v>
      </c>
      <c r="AK46" s="342">
        <f t="shared" ref="AK46:AK54" si="77">J46*$W$9</f>
        <v>0</v>
      </c>
      <c r="AL46" s="343">
        <f>AM46+AN46+AO46</f>
        <v>1093.896</v>
      </c>
      <c r="AM46" s="342">
        <f t="shared" si="61"/>
        <v>0</v>
      </c>
      <c r="AN46" s="342">
        <f t="shared" si="61"/>
        <v>1093.896</v>
      </c>
      <c r="AO46" s="342">
        <f t="shared" si="61"/>
        <v>0</v>
      </c>
      <c r="AP46" s="183">
        <f t="shared" si="57"/>
        <v>0</v>
      </c>
    </row>
    <row r="47" spans="1:42" ht="15.75">
      <c r="A47" s="236"/>
      <c r="B47" s="256"/>
      <c r="C47" s="236" t="s">
        <v>142</v>
      </c>
      <c r="D47" s="237"/>
      <c r="E47" s="240"/>
      <c r="F47" s="240"/>
      <c r="G47" s="237">
        <v>0.14699999999999999</v>
      </c>
      <c r="H47" s="240">
        <f>G47</f>
        <v>0.14699999999999999</v>
      </c>
      <c r="I47" s="240"/>
      <c r="J47" s="237"/>
      <c r="K47" s="240"/>
      <c r="L47" s="240"/>
      <c r="M47" s="237">
        <f>G47</f>
        <v>0.14699999999999999</v>
      </c>
      <c r="N47" s="240">
        <f>M47</f>
        <v>0.14699999999999999</v>
      </c>
      <c r="O47" s="249"/>
      <c r="P47" s="344"/>
      <c r="Q47" s="332">
        <f t="shared" si="62"/>
        <v>0</v>
      </c>
      <c r="R47" s="345">
        <v>190.136</v>
      </c>
      <c r="S47" s="332">
        <f t="shared" ref="S47:S54" si="78">J47*$Q$9</f>
        <v>0</v>
      </c>
      <c r="T47" s="346">
        <f t="shared" si="64"/>
        <v>0</v>
      </c>
      <c r="U47" s="332">
        <v>180.18700000000001</v>
      </c>
      <c r="V47" s="332">
        <f t="shared" ref="V47:V54" si="79">J47*$R$9</f>
        <v>0</v>
      </c>
      <c r="W47" s="332">
        <f t="shared" si="66"/>
        <v>0</v>
      </c>
      <c r="X47" s="332">
        <v>150.55799999999999</v>
      </c>
      <c r="Y47" s="332">
        <f t="shared" ref="Y47:Y54" si="80">J47*$S$9</f>
        <v>0</v>
      </c>
      <c r="Z47" s="332">
        <f t="shared" si="68"/>
        <v>0</v>
      </c>
      <c r="AA47" s="332">
        <f t="shared" si="69"/>
        <v>7.9379999999999997</v>
      </c>
      <c r="AB47" s="332">
        <f>J47*$T$9</f>
        <v>0</v>
      </c>
      <c r="AC47" s="332">
        <f t="shared" si="70"/>
        <v>0</v>
      </c>
      <c r="AD47" s="332">
        <f t="shared" si="71"/>
        <v>13.098000000000001</v>
      </c>
      <c r="AE47" s="332">
        <f t="shared" ref="AE47:AE54" si="81">J47*$U$9</f>
        <v>0</v>
      </c>
      <c r="AF47" s="332">
        <f t="shared" si="72"/>
        <v>0</v>
      </c>
      <c r="AG47" s="332">
        <v>129.30000000000001</v>
      </c>
      <c r="AH47" s="332">
        <f t="shared" si="74"/>
        <v>0</v>
      </c>
      <c r="AI47" s="332">
        <f t="shared" si="75"/>
        <v>0</v>
      </c>
      <c r="AJ47" s="332">
        <v>180.99299999999999</v>
      </c>
      <c r="AK47" s="332">
        <f t="shared" si="77"/>
        <v>0</v>
      </c>
      <c r="AL47" s="328">
        <f t="shared" ref="AL47:AL52" si="82">AM47+AN47+AO47</f>
        <v>852.21</v>
      </c>
      <c r="AM47" s="332">
        <f t="shared" si="61"/>
        <v>0</v>
      </c>
      <c r="AN47" s="333">
        <f t="shared" si="61"/>
        <v>852.21</v>
      </c>
      <c r="AO47" s="332">
        <f t="shared" si="61"/>
        <v>0</v>
      </c>
      <c r="AP47" s="183">
        <f t="shared" si="57"/>
        <v>-579.66</v>
      </c>
    </row>
    <row r="48" spans="1:42" ht="15.75">
      <c r="A48" s="236"/>
      <c r="B48" s="256"/>
      <c r="C48" s="236" t="s">
        <v>144</v>
      </c>
      <c r="D48" s="237"/>
      <c r="E48" s="240"/>
      <c r="F48" s="240"/>
      <c r="G48" s="237">
        <v>0.11600000000000001</v>
      </c>
      <c r="H48" s="240">
        <f>M48</f>
        <v>0.11600000000000001</v>
      </c>
      <c r="I48" s="240"/>
      <c r="J48" s="237"/>
      <c r="K48" s="240"/>
      <c r="L48" s="240"/>
      <c r="M48" s="237">
        <v>0.11600000000000001</v>
      </c>
      <c r="N48" s="240">
        <f>H48</f>
        <v>0.11600000000000001</v>
      </c>
      <c r="O48" s="249"/>
      <c r="P48" s="347"/>
      <c r="Q48" s="332">
        <f t="shared" si="62"/>
        <v>0</v>
      </c>
      <c r="R48" s="345">
        <f t="shared" si="63"/>
        <v>46.82</v>
      </c>
      <c r="S48" s="332">
        <f t="shared" si="78"/>
        <v>0</v>
      </c>
      <c r="T48" s="346">
        <f t="shared" si="64"/>
        <v>0</v>
      </c>
      <c r="U48" s="332">
        <f t="shared" si="65"/>
        <v>41.579000000000001</v>
      </c>
      <c r="V48" s="332">
        <f t="shared" si="79"/>
        <v>0</v>
      </c>
      <c r="W48" s="332">
        <f t="shared" si="66"/>
        <v>0</v>
      </c>
      <c r="X48" s="332">
        <f t="shared" si="67"/>
        <v>36.679000000000002</v>
      </c>
      <c r="Y48" s="332">
        <f t="shared" si="80"/>
        <v>0</v>
      </c>
      <c r="Z48" s="332">
        <f t="shared" si="68"/>
        <v>0</v>
      </c>
      <c r="AA48" s="332">
        <f t="shared" si="69"/>
        <v>6.2640000000000002</v>
      </c>
      <c r="AB48" s="332">
        <f>J48*$T$9</f>
        <v>0</v>
      </c>
      <c r="AC48" s="332">
        <f t="shared" si="70"/>
        <v>0</v>
      </c>
      <c r="AD48" s="332">
        <f t="shared" si="71"/>
        <v>10.336</v>
      </c>
      <c r="AE48" s="332">
        <f t="shared" si="81"/>
        <v>0</v>
      </c>
      <c r="AF48" s="332">
        <f t="shared" si="72"/>
        <v>0</v>
      </c>
      <c r="AG48" s="332">
        <f t="shared" si="73"/>
        <v>31.32</v>
      </c>
      <c r="AH48" s="332">
        <f t="shared" si="74"/>
        <v>0</v>
      </c>
      <c r="AI48" s="332">
        <f t="shared" si="75"/>
        <v>0</v>
      </c>
      <c r="AJ48" s="332">
        <f t="shared" si="76"/>
        <v>42.073</v>
      </c>
      <c r="AK48" s="332">
        <f t="shared" si="77"/>
        <v>0</v>
      </c>
      <c r="AL48" s="328">
        <f t="shared" si="82"/>
        <v>215.071</v>
      </c>
      <c r="AM48" s="332">
        <f t="shared" si="61"/>
        <v>0</v>
      </c>
      <c r="AN48" s="333">
        <f t="shared" si="61"/>
        <v>215.071</v>
      </c>
      <c r="AO48" s="332">
        <f t="shared" si="61"/>
        <v>0</v>
      </c>
      <c r="AP48" s="183">
        <f t="shared" si="57"/>
        <v>0</v>
      </c>
    </row>
    <row r="49" spans="1:42" ht="15.75">
      <c r="A49" s="236"/>
      <c r="B49" s="256"/>
      <c r="C49" s="236" t="s">
        <v>145</v>
      </c>
      <c r="D49" s="237"/>
      <c r="E49" s="240"/>
      <c r="F49" s="240"/>
      <c r="G49" s="237">
        <v>8.6999999999999994E-2</v>
      </c>
      <c r="H49" s="240">
        <f>M49</f>
        <v>8.6999999999999994E-2</v>
      </c>
      <c r="I49" s="240"/>
      <c r="J49" s="237"/>
      <c r="K49" s="240"/>
      <c r="L49" s="240"/>
      <c r="M49" s="237">
        <v>8.6999999999999994E-2</v>
      </c>
      <c r="N49" s="240">
        <f>H49</f>
        <v>8.6999999999999994E-2</v>
      </c>
      <c r="O49" s="249"/>
      <c r="P49" s="347"/>
      <c r="Q49" s="332">
        <f t="shared" si="62"/>
        <v>0</v>
      </c>
      <c r="R49" s="345">
        <f t="shared" si="63"/>
        <v>35.115000000000002</v>
      </c>
      <c r="S49" s="332">
        <f t="shared" si="78"/>
        <v>0</v>
      </c>
      <c r="T49" s="346">
        <f t="shared" si="64"/>
        <v>0</v>
      </c>
      <c r="U49" s="332">
        <f t="shared" si="65"/>
        <v>31.184000000000001</v>
      </c>
      <c r="V49" s="332">
        <f t="shared" si="79"/>
        <v>0</v>
      </c>
      <c r="W49" s="332">
        <f t="shared" si="66"/>
        <v>0</v>
      </c>
      <c r="X49" s="332">
        <f t="shared" si="67"/>
        <v>27.509</v>
      </c>
      <c r="Y49" s="332">
        <f t="shared" si="80"/>
        <v>0</v>
      </c>
      <c r="Z49" s="332">
        <f t="shared" si="68"/>
        <v>0</v>
      </c>
      <c r="AA49" s="332">
        <f t="shared" si="69"/>
        <v>4.6980000000000004</v>
      </c>
      <c r="AB49" s="332">
        <f t="shared" ref="AB49:AB54" si="83">J49*$T$9</f>
        <v>0</v>
      </c>
      <c r="AC49" s="332">
        <f t="shared" si="70"/>
        <v>0</v>
      </c>
      <c r="AD49" s="332">
        <f t="shared" si="71"/>
        <v>7.7519999999999998</v>
      </c>
      <c r="AE49" s="332">
        <f t="shared" si="81"/>
        <v>0</v>
      </c>
      <c r="AF49" s="332">
        <f t="shared" si="72"/>
        <v>0</v>
      </c>
      <c r="AG49" s="332">
        <f t="shared" si="73"/>
        <v>23.49</v>
      </c>
      <c r="AH49" s="332">
        <f t="shared" si="74"/>
        <v>0</v>
      </c>
      <c r="AI49" s="332">
        <f t="shared" si="75"/>
        <v>0</v>
      </c>
      <c r="AJ49" s="332">
        <f t="shared" si="76"/>
        <v>31.555</v>
      </c>
      <c r="AK49" s="332">
        <f t="shared" si="77"/>
        <v>0</v>
      </c>
      <c r="AL49" s="328">
        <f t="shared" si="82"/>
        <v>161.303</v>
      </c>
      <c r="AM49" s="332">
        <f t="shared" si="61"/>
        <v>0</v>
      </c>
      <c r="AN49" s="333">
        <f t="shared" si="61"/>
        <v>161.303</v>
      </c>
      <c r="AO49" s="332">
        <f t="shared" si="61"/>
        <v>0</v>
      </c>
      <c r="AP49" s="183">
        <f t="shared" si="57"/>
        <v>0</v>
      </c>
    </row>
    <row r="50" spans="1:42" ht="15.75">
      <c r="A50" s="236"/>
      <c r="B50" s="256"/>
      <c r="C50" s="236" t="s">
        <v>146</v>
      </c>
      <c r="D50" s="237"/>
      <c r="E50" s="240"/>
      <c r="F50" s="240"/>
      <c r="G50" s="237"/>
      <c r="H50" s="240"/>
      <c r="I50" s="240"/>
      <c r="J50" s="237">
        <v>5.0999999999999997E-2</v>
      </c>
      <c r="K50" s="240">
        <v>5.0999999999999997E-2</v>
      </c>
      <c r="L50" s="240"/>
      <c r="M50" s="237">
        <v>5.0999999999999997E-2</v>
      </c>
      <c r="N50" s="240">
        <v>5.0999999999999997E-2</v>
      </c>
      <c r="O50" s="249"/>
      <c r="P50" s="347"/>
      <c r="Q50" s="332">
        <f t="shared" si="62"/>
        <v>0</v>
      </c>
      <c r="R50" s="348">
        <f t="shared" si="63"/>
        <v>0</v>
      </c>
      <c r="S50" s="332">
        <f t="shared" si="78"/>
        <v>20.585000000000001</v>
      </c>
      <c r="T50" s="346">
        <f t="shared" si="64"/>
        <v>0</v>
      </c>
      <c r="U50" s="332">
        <f t="shared" si="65"/>
        <v>0</v>
      </c>
      <c r="V50" s="332">
        <f t="shared" si="79"/>
        <v>18.28</v>
      </c>
      <c r="W50" s="332">
        <f t="shared" si="66"/>
        <v>0</v>
      </c>
      <c r="X50" s="332">
        <f t="shared" si="67"/>
        <v>0</v>
      </c>
      <c r="Y50" s="332">
        <f t="shared" si="80"/>
        <v>16.126000000000001</v>
      </c>
      <c r="Z50" s="332">
        <f t="shared" si="68"/>
        <v>0</v>
      </c>
      <c r="AA50" s="332">
        <f t="shared" si="69"/>
        <v>0</v>
      </c>
      <c r="AB50" s="332">
        <f t="shared" si="83"/>
        <v>2.754</v>
      </c>
      <c r="AC50" s="332">
        <f t="shared" si="70"/>
        <v>0</v>
      </c>
      <c r="AD50" s="332">
        <f t="shared" si="71"/>
        <v>0</v>
      </c>
      <c r="AE50" s="332">
        <f t="shared" si="81"/>
        <v>4.5439999999999996</v>
      </c>
      <c r="AF50" s="332">
        <f t="shared" si="72"/>
        <v>0</v>
      </c>
      <c r="AG50" s="332">
        <f t="shared" si="73"/>
        <v>0</v>
      </c>
      <c r="AH50" s="332">
        <f t="shared" si="74"/>
        <v>13.77</v>
      </c>
      <c r="AI50" s="332">
        <f t="shared" si="75"/>
        <v>0</v>
      </c>
      <c r="AJ50" s="332">
        <f t="shared" si="76"/>
        <v>0</v>
      </c>
      <c r="AK50" s="332">
        <f t="shared" si="77"/>
        <v>18.498000000000001</v>
      </c>
      <c r="AL50" s="328">
        <f t="shared" si="82"/>
        <v>94.557000000000002</v>
      </c>
      <c r="AM50" s="332">
        <f t="shared" si="61"/>
        <v>0</v>
      </c>
      <c r="AN50" s="333">
        <f t="shared" si="61"/>
        <v>0</v>
      </c>
      <c r="AO50" s="332">
        <f t="shared" si="61"/>
        <v>94.557000000000002</v>
      </c>
      <c r="AP50" s="183">
        <f t="shared" si="57"/>
        <v>0</v>
      </c>
    </row>
    <row r="51" spans="1:42" ht="16.5" thickBot="1">
      <c r="A51" s="236"/>
      <c r="B51" s="256"/>
      <c r="C51" s="236" t="s">
        <v>147</v>
      </c>
      <c r="D51" s="237"/>
      <c r="E51" s="240"/>
      <c r="F51" s="240"/>
      <c r="G51" s="237"/>
      <c r="H51" s="240"/>
      <c r="I51" s="240"/>
      <c r="J51" s="237">
        <v>0.12809999999999999</v>
      </c>
      <c r="K51" s="240">
        <v>0.12809999999999999</v>
      </c>
      <c r="L51" s="240"/>
      <c r="M51" s="237">
        <v>0.12809999999999999</v>
      </c>
      <c r="N51" s="240">
        <v>0.12809999999999999</v>
      </c>
      <c r="O51" s="249"/>
      <c r="P51" s="349"/>
      <c r="Q51" s="350">
        <f t="shared" si="62"/>
        <v>0</v>
      </c>
      <c r="R51" s="351">
        <v>0</v>
      </c>
      <c r="S51" s="350">
        <f t="shared" si="78"/>
        <v>51.704000000000001</v>
      </c>
      <c r="T51" s="352">
        <f t="shared" si="64"/>
        <v>0</v>
      </c>
      <c r="U51" s="350">
        <v>0</v>
      </c>
      <c r="V51" s="350">
        <f t="shared" si="79"/>
        <v>45.915999999999997</v>
      </c>
      <c r="W51" s="350">
        <f t="shared" si="66"/>
        <v>0</v>
      </c>
      <c r="X51" s="350">
        <v>0</v>
      </c>
      <c r="Y51" s="350">
        <f t="shared" si="80"/>
        <v>40.505000000000003</v>
      </c>
      <c r="Z51" s="350">
        <f t="shared" si="68"/>
        <v>0</v>
      </c>
      <c r="AA51" s="350">
        <f t="shared" si="69"/>
        <v>0</v>
      </c>
      <c r="AB51" s="350">
        <f t="shared" si="83"/>
        <v>6.9169999999999998</v>
      </c>
      <c r="AC51" s="350">
        <f t="shared" si="70"/>
        <v>0</v>
      </c>
      <c r="AD51" s="350">
        <f t="shared" si="71"/>
        <v>0</v>
      </c>
      <c r="AE51" s="350">
        <f t="shared" si="81"/>
        <v>11.414</v>
      </c>
      <c r="AF51" s="350">
        <f t="shared" si="72"/>
        <v>0</v>
      </c>
      <c r="AG51" s="350">
        <v>0</v>
      </c>
      <c r="AH51" s="350">
        <f t="shared" si="74"/>
        <v>34.587000000000003</v>
      </c>
      <c r="AI51" s="350">
        <f t="shared" si="75"/>
        <v>0</v>
      </c>
      <c r="AJ51" s="350">
        <v>0</v>
      </c>
      <c r="AK51" s="350">
        <f t="shared" si="77"/>
        <v>46.462000000000003</v>
      </c>
      <c r="AL51" s="353">
        <f t="shared" si="82"/>
        <v>237.505</v>
      </c>
      <c r="AM51" s="350">
        <f t="shared" si="61"/>
        <v>0</v>
      </c>
      <c r="AN51" s="354">
        <f t="shared" si="61"/>
        <v>0</v>
      </c>
      <c r="AO51" s="350">
        <f t="shared" si="61"/>
        <v>237.505</v>
      </c>
      <c r="AP51" s="183">
        <f t="shared" si="57"/>
        <v>0</v>
      </c>
    </row>
    <row r="52" spans="1:42" ht="16.5" thickBot="1">
      <c r="A52" s="246"/>
      <c r="B52" s="4" t="s">
        <v>148</v>
      </c>
      <c r="C52" s="259"/>
      <c r="D52" s="7">
        <f>SUM(D45:D51)</f>
        <v>0.124</v>
      </c>
      <c r="E52" s="5"/>
      <c r="F52" s="7">
        <f>SUM(F45:F51)</f>
        <v>0.124</v>
      </c>
      <c r="G52" s="5">
        <f>SUM(G46:G51)</f>
        <v>0.94</v>
      </c>
      <c r="H52" s="5">
        <f>SUM(H46:H51)</f>
        <v>0.94</v>
      </c>
      <c r="I52" s="5"/>
      <c r="J52" s="5">
        <f>SUM(J50:J51)</f>
        <v>0.17910000000000001</v>
      </c>
      <c r="K52" s="5">
        <f>SUM(K50:K51)</f>
        <v>0.17910000000000001</v>
      </c>
      <c r="L52" s="5">
        <f>SUM(L50:L51)</f>
        <v>0</v>
      </c>
      <c r="M52" s="9">
        <f t="shared" ref="M52:M57" si="84">D52+G52+J52</f>
        <v>1.2431000000000001</v>
      </c>
      <c r="N52" s="5">
        <f>H52+K52</f>
        <v>1.1191</v>
      </c>
      <c r="O52" s="9">
        <f>F52+L52</f>
        <v>0.124</v>
      </c>
      <c r="P52" s="355"/>
      <c r="Q52" s="335">
        <f t="shared" si="62"/>
        <v>50.048999999999999</v>
      </c>
      <c r="R52" s="335">
        <f t="shared" si="63"/>
        <v>379.40300000000002</v>
      </c>
      <c r="S52" s="335">
        <f t="shared" si="78"/>
        <v>72.287999999999997</v>
      </c>
      <c r="T52" s="335">
        <f t="shared" si="64"/>
        <v>44.447000000000003</v>
      </c>
      <c r="U52" s="335">
        <f t="shared" si="65"/>
        <v>336.93400000000003</v>
      </c>
      <c r="V52" s="335">
        <f t="shared" si="79"/>
        <v>64.197000000000003</v>
      </c>
      <c r="W52" s="335">
        <f t="shared" si="66"/>
        <v>39.209000000000003</v>
      </c>
      <c r="X52" s="335">
        <f t="shared" si="67"/>
        <v>297.22800000000001</v>
      </c>
      <c r="Y52" s="335">
        <f t="shared" si="80"/>
        <v>56.631</v>
      </c>
      <c r="Z52" s="335">
        <f t="shared" si="68"/>
        <v>6.6959999999999997</v>
      </c>
      <c r="AA52" s="335">
        <f t="shared" si="69"/>
        <v>50.76</v>
      </c>
      <c r="AB52" s="335">
        <f t="shared" si="83"/>
        <v>9.6709999999999994</v>
      </c>
      <c r="AC52" s="335">
        <f t="shared" si="70"/>
        <v>11.048</v>
      </c>
      <c r="AD52" s="335">
        <f t="shared" si="71"/>
        <v>83.754000000000005</v>
      </c>
      <c r="AE52" s="335">
        <f t="shared" si="81"/>
        <v>15.958</v>
      </c>
      <c r="AF52" s="335">
        <f t="shared" si="72"/>
        <v>33.479999999999997</v>
      </c>
      <c r="AG52" s="335">
        <f t="shared" si="73"/>
        <v>253.8</v>
      </c>
      <c r="AH52" s="335">
        <f t="shared" si="74"/>
        <v>48.356999999999999</v>
      </c>
      <c r="AI52" s="335">
        <f t="shared" si="75"/>
        <v>44.975000000000001</v>
      </c>
      <c r="AJ52" s="335">
        <f t="shared" si="76"/>
        <v>340.93799999999999</v>
      </c>
      <c r="AK52" s="335">
        <f t="shared" si="77"/>
        <v>64.959999999999994</v>
      </c>
      <c r="AL52" s="335">
        <f t="shared" si="82"/>
        <v>2304.7829999999999</v>
      </c>
      <c r="AM52" s="335">
        <f t="shared" si="61"/>
        <v>229.904</v>
      </c>
      <c r="AN52" s="335">
        <f t="shared" si="61"/>
        <v>1742.817</v>
      </c>
      <c r="AO52" s="335">
        <f t="shared" si="61"/>
        <v>332.06200000000001</v>
      </c>
      <c r="AP52" s="183">
        <f t="shared" si="57"/>
        <v>0</v>
      </c>
    </row>
    <row r="53" spans="1:42" ht="15.75">
      <c r="A53" s="227">
        <v>22</v>
      </c>
      <c r="B53" s="269" t="s">
        <v>372</v>
      </c>
      <c r="C53" s="227" t="s">
        <v>149</v>
      </c>
      <c r="D53" s="270"/>
      <c r="E53" s="233"/>
      <c r="F53" s="271"/>
      <c r="G53" s="232">
        <v>0.22500000000000001</v>
      </c>
      <c r="H53" s="234">
        <v>0.22500000000000001</v>
      </c>
      <c r="I53" s="233"/>
      <c r="J53" s="270"/>
      <c r="K53" s="233"/>
      <c r="L53" s="233"/>
      <c r="M53" s="232">
        <f t="shared" si="84"/>
        <v>0.22500000000000001</v>
      </c>
      <c r="N53" s="234">
        <f>E53+H53+K53</f>
        <v>0.22500000000000001</v>
      </c>
      <c r="O53" s="234">
        <f>F53+I53+L53</f>
        <v>0</v>
      </c>
      <c r="P53" s="344"/>
      <c r="Q53" s="332">
        <f t="shared" si="62"/>
        <v>0</v>
      </c>
      <c r="R53" s="345">
        <f t="shared" si="63"/>
        <v>90.814999999999998</v>
      </c>
      <c r="S53" s="332">
        <f t="shared" si="78"/>
        <v>0</v>
      </c>
      <c r="T53" s="346">
        <f t="shared" si="64"/>
        <v>0</v>
      </c>
      <c r="U53" s="332">
        <f t="shared" si="65"/>
        <v>80.649000000000001</v>
      </c>
      <c r="V53" s="332">
        <f t="shared" si="79"/>
        <v>0</v>
      </c>
      <c r="W53" s="332">
        <f t="shared" si="66"/>
        <v>0</v>
      </c>
      <c r="X53" s="332">
        <f t="shared" si="67"/>
        <v>71.144999999999996</v>
      </c>
      <c r="Y53" s="332">
        <f t="shared" si="80"/>
        <v>0</v>
      </c>
      <c r="Z53" s="332">
        <f t="shared" si="68"/>
        <v>0</v>
      </c>
      <c r="AA53" s="332">
        <f t="shared" si="69"/>
        <v>12.15</v>
      </c>
      <c r="AB53" s="332">
        <f t="shared" si="83"/>
        <v>0</v>
      </c>
      <c r="AC53" s="332">
        <f t="shared" si="70"/>
        <v>0</v>
      </c>
      <c r="AD53" s="332">
        <f t="shared" si="71"/>
        <v>20.047999999999998</v>
      </c>
      <c r="AE53" s="332">
        <f t="shared" si="81"/>
        <v>0</v>
      </c>
      <c r="AF53" s="332">
        <f t="shared" si="72"/>
        <v>0</v>
      </c>
      <c r="AG53" s="332">
        <f t="shared" si="73"/>
        <v>60.75</v>
      </c>
      <c r="AH53" s="332">
        <f t="shared" si="74"/>
        <v>0</v>
      </c>
      <c r="AI53" s="332">
        <f t="shared" si="75"/>
        <v>0</v>
      </c>
      <c r="AJ53" s="332">
        <f t="shared" si="76"/>
        <v>81.608000000000004</v>
      </c>
      <c r="AK53" s="332">
        <f t="shared" si="77"/>
        <v>0</v>
      </c>
      <c r="AL53" s="328">
        <f>AM53+AN53+AO53</f>
        <v>417.16500000000002</v>
      </c>
      <c r="AM53" s="332">
        <f t="shared" si="61"/>
        <v>0</v>
      </c>
      <c r="AN53" s="332">
        <f t="shared" si="61"/>
        <v>417.16500000000002</v>
      </c>
      <c r="AO53" s="332">
        <f t="shared" si="61"/>
        <v>0</v>
      </c>
      <c r="AP53" s="183">
        <f t="shared" si="57"/>
        <v>0</v>
      </c>
    </row>
    <row r="54" spans="1:42" ht="16.5" thickBot="1">
      <c r="A54" s="227">
        <v>25</v>
      </c>
      <c r="B54" s="227" t="s">
        <v>373</v>
      </c>
      <c r="C54" s="227" t="s">
        <v>150</v>
      </c>
      <c r="D54" s="270"/>
      <c r="E54" s="272"/>
      <c r="F54" s="273"/>
      <c r="G54" s="274">
        <v>0.32</v>
      </c>
      <c r="H54" s="234">
        <v>0.32</v>
      </c>
      <c r="I54" s="233"/>
      <c r="J54" s="270"/>
      <c r="K54" s="233"/>
      <c r="L54" s="233"/>
      <c r="M54" s="232">
        <f t="shared" si="84"/>
        <v>0.32</v>
      </c>
      <c r="N54" s="234">
        <f>H54+K54</f>
        <v>0.32</v>
      </c>
      <c r="O54" s="234">
        <f>E54+I54+L54</f>
        <v>0</v>
      </c>
      <c r="P54" s="347"/>
      <c r="Q54" s="356">
        <f t="shared" si="62"/>
        <v>0</v>
      </c>
      <c r="R54" s="345">
        <f t="shared" si="63"/>
        <v>129.15799999999999</v>
      </c>
      <c r="S54" s="356">
        <f t="shared" si="78"/>
        <v>0</v>
      </c>
      <c r="T54" s="346">
        <f t="shared" si="64"/>
        <v>0</v>
      </c>
      <c r="U54" s="332">
        <f t="shared" si="65"/>
        <v>114.70099999999999</v>
      </c>
      <c r="V54" s="332">
        <f t="shared" si="79"/>
        <v>0</v>
      </c>
      <c r="W54" s="332">
        <f t="shared" si="66"/>
        <v>0</v>
      </c>
      <c r="X54" s="332">
        <f t="shared" si="67"/>
        <v>101.184</v>
      </c>
      <c r="Y54" s="332">
        <f t="shared" si="80"/>
        <v>0</v>
      </c>
      <c r="Z54" s="332">
        <f t="shared" si="68"/>
        <v>0</v>
      </c>
      <c r="AA54" s="332">
        <f t="shared" si="69"/>
        <v>17.28</v>
      </c>
      <c r="AB54" s="332">
        <f t="shared" si="83"/>
        <v>0</v>
      </c>
      <c r="AC54" s="332">
        <f t="shared" si="70"/>
        <v>0</v>
      </c>
      <c r="AD54" s="332">
        <f t="shared" si="71"/>
        <v>28.512</v>
      </c>
      <c r="AE54" s="332">
        <f t="shared" si="81"/>
        <v>0</v>
      </c>
      <c r="AF54" s="332">
        <f t="shared" si="72"/>
        <v>0</v>
      </c>
      <c r="AG54" s="332">
        <f t="shared" si="73"/>
        <v>86.4</v>
      </c>
      <c r="AH54" s="332">
        <f t="shared" si="74"/>
        <v>0</v>
      </c>
      <c r="AI54" s="332">
        <f t="shared" si="75"/>
        <v>0</v>
      </c>
      <c r="AJ54" s="332">
        <f t="shared" si="76"/>
        <v>116.06399999999999</v>
      </c>
      <c r="AK54" s="332">
        <f t="shared" si="77"/>
        <v>0</v>
      </c>
      <c r="AL54" s="328">
        <f>AM54+AN54+AO54</f>
        <v>593.29899999999998</v>
      </c>
      <c r="AM54" s="332">
        <f t="shared" si="61"/>
        <v>0</v>
      </c>
      <c r="AN54" s="332">
        <f t="shared" si="61"/>
        <v>593.29899999999998</v>
      </c>
      <c r="AO54" s="332">
        <f t="shared" si="61"/>
        <v>0</v>
      </c>
      <c r="AP54" s="183">
        <f t="shared" si="57"/>
        <v>0</v>
      </c>
    </row>
    <row r="55" spans="1:42" ht="16.5" thickBot="1">
      <c r="A55" s="227">
        <v>27</v>
      </c>
      <c r="B55" s="227" t="s">
        <v>191</v>
      </c>
      <c r="C55" s="227" t="s">
        <v>151</v>
      </c>
      <c r="D55" s="270"/>
      <c r="E55" s="233"/>
      <c r="F55" s="229"/>
      <c r="G55" s="232">
        <v>0.14499999999999999</v>
      </c>
      <c r="H55" s="234">
        <v>0.14499999999999999</v>
      </c>
      <c r="I55" s="234"/>
      <c r="J55" s="270"/>
      <c r="K55" s="233"/>
      <c r="L55" s="233"/>
      <c r="M55" s="232">
        <f t="shared" si="84"/>
        <v>0.14499999999999999</v>
      </c>
      <c r="N55" s="234">
        <f>E55+H55+K55</f>
        <v>0.14499999999999999</v>
      </c>
      <c r="O55" s="234">
        <f>F55+I55+L55</f>
        <v>0</v>
      </c>
      <c r="P55" s="357"/>
      <c r="Q55" s="356">
        <f>D55*$Q$9</f>
        <v>0</v>
      </c>
      <c r="R55" s="345">
        <f>G55*$Q$9</f>
        <v>58.524999999999999</v>
      </c>
      <c r="S55" s="356">
        <f>J55*$Q$9</f>
        <v>0</v>
      </c>
      <c r="T55" s="346">
        <f>D55*$R$9</f>
        <v>0</v>
      </c>
      <c r="U55" s="332">
        <f>G55*$R$9</f>
        <v>51.973999999999997</v>
      </c>
      <c r="V55" s="332">
        <f>J55*$R$9</f>
        <v>0</v>
      </c>
      <c r="W55" s="332">
        <f>D55*$S$9</f>
        <v>0</v>
      </c>
      <c r="X55" s="332">
        <f>G55*$S$9</f>
        <v>45.848999999999997</v>
      </c>
      <c r="Y55" s="332">
        <f>J55*$S$9</f>
        <v>0</v>
      </c>
      <c r="Z55" s="332">
        <f>D55*$T$9</f>
        <v>0</v>
      </c>
      <c r="AA55" s="332">
        <f>G55*$T$9</f>
        <v>7.83</v>
      </c>
      <c r="AB55" s="332">
        <f>J55*$T$9</f>
        <v>0</v>
      </c>
      <c r="AC55" s="332">
        <f>D55*$U$9</f>
        <v>0</v>
      </c>
      <c r="AD55" s="332">
        <f>G55*$U$9</f>
        <v>12.92</v>
      </c>
      <c r="AE55" s="332">
        <f>J55*$U$9</f>
        <v>0</v>
      </c>
      <c r="AF55" s="332">
        <f>D55*$V$9</f>
        <v>0</v>
      </c>
      <c r="AG55" s="332">
        <f>G55*$V$9</f>
        <v>39.15</v>
      </c>
      <c r="AH55" s="332">
        <f>J55*$V$9</f>
        <v>0</v>
      </c>
      <c r="AI55" s="332">
        <f>D55*$W$9</f>
        <v>0</v>
      </c>
      <c r="AJ55" s="332">
        <f>G55*$W$9</f>
        <v>52.591999999999999</v>
      </c>
      <c r="AK55" s="332">
        <f>J55*$W$9</f>
        <v>0</v>
      </c>
      <c r="AL55" s="328">
        <f>AM55+AN55+AO55</f>
        <v>268.83999999999997</v>
      </c>
      <c r="AM55" s="332">
        <f>Q55+T55+W55+Z55+AC55+AF55+AI55</f>
        <v>0</v>
      </c>
      <c r="AN55" s="332">
        <f>R55+U55+X55+AA55+AD55+AG55+AJ55</f>
        <v>268.83999999999997</v>
      </c>
      <c r="AO55" s="332">
        <f>S55+V55+Y55+AB55+AE55+AH55+AK55</f>
        <v>0</v>
      </c>
      <c r="AP55" s="183">
        <f t="shared" si="57"/>
        <v>0</v>
      </c>
    </row>
    <row r="56" spans="1:42" ht="15.75">
      <c r="A56" s="227"/>
      <c r="B56" s="269"/>
      <c r="C56" s="269" t="s">
        <v>374</v>
      </c>
      <c r="D56" s="275"/>
      <c r="E56" s="276"/>
      <c r="F56" s="276"/>
      <c r="G56" s="235">
        <v>7.0000000000000007E-2</v>
      </c>
      <c r="H56" s="277">
        <f>G56</f>
        <v>7.0000000000000007E-2</v>
      </c>
      <c r="I56" s="278"/>
      <c r="J56" s="275"/>
      <c r="K56" s="233"/>
      <c r="L56" s="233"/>
      <c r="M56" s="235">
        <v>7.0000000000000007E-2</v>
      </c>
      <c r="N56" s="277">
        <f>M56</f>
        <v>7.0000000000000007E-2</v>
      </c>
      <c r="O56" s="234"/>
      <c r="P56" s="330"/>
      <c r="Q56" s="327">
        <f t="shared" ref="Q56:Q65" si="85">D56*$Q$9</f>
        <v>0</v>
      </c>
      <c r="R56" s="327">
        <f t="shared" ref="R56:R65" si="86">G56*$Q$9</f>
        <v>28.253</v>
      </c>
      <c r="S56" s="327">
        <f t="shared" ref="S56:S65" si="87">J56*$Q$9</f>
        <v>0</v>
      </c>
      <c r="T56" s="327">
        <f t="shared" ref="T56:T65" si="88">D56*$R$9</f>
        <v>0</v>
      </c>
      <c r="U56" s="327">
        <f t="shared" ref="U56:U65" si="89">G56*$R$9</f>
        <v>25.091000000000001</v>
      </c>
      <c r="V56" s="327">
        <f t="shared" ref="V56:V65" si="90">J56*$R$9</f>
        <v>0</v>
      </c>
      <c r="W56" s="327">
        <f t="shared" ref="W56:W65" si="91">D56*$S$9</f>
        <v>0</v>
      </c>
      <c r="X56" s="327">
        <f t="shared" ref="X56:X65" si="92">G56*$S$9</f>
        <v>22.134</v>
      </c>
      <c r="Y56" s="327">
        <f t="shared" ref="Y56:Y65" si="93">J56*$S$9</f>
        <v>0</v>
      </c>
      <c r="Z56" s="327">
        <f t="shared" ref="Z56:Z65" si="94">D56*$T$9</f>
        <v>0</v>
      </c>
      <c r="AA56" s="327">
        <f t="shared" ref="AA56:AA65" si="95">G56*$T$9</f>
        <v>3.78</v>
      </c>
      <c r="AB56" s="327">
        <f t="shared" ref="AB56:AB65" si="96">J56*$T$9</f>
        <v>0</v>
      </c>
      <c r="AC56" s="327">
        <f t="shared" ref="AC56:AC65" si="97">D56*$U$9</f>
        <v>0</v>
      </c>
      <c r="AD56" s="327">
        <f t="shared" ref="AD56:AD65" si="98">G56*$U$9</f>
        <v>6.2370000000000001</v>
      </c>
      <c r="AE56" s="327">
        <f t="shared" ref="AE56:AE65" si="99">J56*$U$9</f>
        <v>0</v>
      </c>
      <c r="AF56" s="327">
        <f t="shared" ref="AF56:AF65" si="100">D56*$V$9</f>
        <v>0</v>
      </c>
      <c r="AG56" s="327">
        <f t="shared" ref="AG56:AG65" si="101">G56*$V$9</f>
        <v>18.899999999999999</v>
      </c>
      <c r="AH56" s="327">
        <f t="shared" ref="AH56:AH65" si="102">J56*$V$9</f>
        <v>0</v>
      </c>
      <c r="AI56" s="327">
        <f t="shared" ref="AI56:AI65" si="103">D56*$W$9</f>
        <v>0</v>
      </c>
      <c r="AJ56" s="327">
        <f t="shared" ref="AJ56:AJ65" si="104">G56*$W$9</f>
        <v>25.388999999999999</v>
      </c>
      <c r="AK56" s="327">
        <f t="shared" ref="AK56:AK65" si="105">J56*$W$9</f>
        <v>0</v>
      </c>
      <c r="AL56" s="328">
        <f t="shared" ref="AL56:AL65" si="106">AM56+AN56+AO56</f>
        <v>129.78399999999999</v>
      </c>
      <c r="AM56" s="327">
        <f t="shared" ref="AM56:AO65" si="107">Q56+T56+W56+Z56+AC56+AF56+AI56</f>
        <v>0</v>
      </c>
      <c r="AN56" s="327">
        <f t="shared" si="107"/>
        <v>129.78399999999999</v>
      </c>
      <c r="AO56" s="327">
        <f t="shared" si="107"/>
        <v>0</v>
      </c>
      <c r="AP56" s="183">
        <f t="shared" si="57"/>
        <v>0</v>
      </c>
    </row>
    <row r="57" spans="1:42" ht="21" customHeight="1">
      <c r="A57" s="227">
        <v>28</v>
      </c>
      <c r="B57" s="227" t="s">
        <v>192</v>
      </c>
      <c r="C57" s="227" t="s">
        <v>152</v>
      </c>
      <c r="D57" s="270"/>
      <c r="E57" s="233"/>
      <c r="F57" s="233"/>
      <c r="G57" s="232">
        <v>0.20499999999999999</v>
      </c>
      <c r="H57" s="234">
        <v>0.20499999999999999</v>
      </c>
      <c r="I57" s="178"/>
      <c r="J57" s="270"/>
      <c r="K57" s="233"/>
      <c r="L57" s="233"/>
      <c r="M57" s="232">
        <f t="shared" si="84"/>
        <v>0.20499999999999999</v>
      </c>
      <c r="N57" s="234">
        <f>F57+H57+L57</f>
        <v>0.20499999999999999</v>
      </c>
      <c r="O57" s="282"/>
      <c r="P57" s="330"/>
      <c r="Q57" s="327">
        <f t="shared" si="85"/>
        <v>0</v>
      </c>
      <c r="R57" s="327">
        <f t="shared" si="86"/>
        <v>82.742000000000004</v>
      </c>
      <c r="S57" s="327">
        <f t="shared" si="87"/>
        <v>0</v>
      </c>
      <c r="T57" s="327">
        <f t="shared" si="88"/>
        <v>0</v>
      </c>
      <c r="U57" s="327">
        <f t="shared" si="89"/>
        <v>73.48</v>
      </c>
      <c r="V57" s="327">
        <f t="shared" si="90"/>
        <v>0</v>
      </c>
      <c r="W57" s="327">
        <f t="shared" si="91"/>
        <v>0</v>
      </c>
      <c r="X57" s="327">
        <f t="shared" si="92"/>
        <v>64.820999999999998</v>
      </c>
      <c r="Y57" s="327">
        <f t="shared" si="93"/>
        <v>0</v>
      </c>
      <c r="Z57" s="327">
        <f t="shared" si="94"/>
        <v>0</v>
      </c>
      <c r="AA57" s="327">
        <f t="shared" si="95"/>
        <v>11.07</v>
      </c>
      <c r="AB57" s="327">
        <f t="shared" si="96"/>
        <v>0</v>
      </c>
      <c r="AC57" s="327">
        <f t="shared" si="97"/>
        <v>0</v>
      </c>
      <c r="AD57" s="327">
        <f t="shared" si="98"/>
        <v>18.265999999999998</v>
      </c>
      <c r="AE57" s="327">
        <f t="shared" si="99"/>
        <v>0</v>
      </c>
      <c r="AF57" s="327">
        <f t="shared" si="100"/>
        <v>0</v>
      </c>
      <c r="AG57" s="327">
        <f t="shared" si="101"/>
        <v>55.35</v>
      </c>
      <c r="AH57" s="327">
        <f t="shared" si="102"/>
        <v>0</v>
      </c>
      <c r="AI57" s="327">
        <f t="shared" si="103"/>
        <v>0</v>
      </c>
      <c r="AJ57" s="327">
        <f t="shared" si="104"/>
        <v>74.353999999999999</v>
      </c>
      <c r="AK57" s="327">
        <f t="shared" si="105"/>
        <v>0</v>
      </c>
      <c r="AL57" s="328">
        <f t="shared" si="106"/>
        <v>380.08300000000003</v>
      </c>
      <c r="AM57" s="327">
        <f t="shared" si="107"/>
        <v>0</v>
      </c>
      <c r="AN57" s="327">
        <f t="shared" si="107"/>
        <v>380.08300000000003</v>
      </c>
      <c r="AO57" s="327">
        <f t="shared" si="107"/>
        <v>0</v>
      </c>
      <c r="AP57" s="183">
        <f t="shared" si="57"/>
        <v>0</v>
      </c>
    </row>
    <row r="58" spans="1:42" ht="21" customHeight="1">
      <c r="A58" s="236">
        <v>29</v>
      </c>
      <c r="B58" s="236" t="s">
        <v>375</v>
      </c>
      <c r="C58" s="236" t="s">
        <v>153</v>
      </c>
      <c r="D58" s="257"/>
      <c r="E58" s="238"/>
      <c r="F58" s="238"/>
      <c r="G58" s="237">
        <v>2.4E-2</v>
      </c>
      <c r="H58" s="240">
        <v>2.4E-2</v>
      </c>
      <c r="I58" s="178"/>
      <c r="J58" s="257"/>
      <c r="K58" s="238"/>
      <c r="L58" s="238"/>
      <c r="M58" s="529">
        <f>G58+G59</f>
        <v>6.4000000000000001E-2</v>
      </c>
      <c r="N58" s="529">
        <f>M58</f>
        <v>6.4000000000000001E-2</v>
      </c>
      <c r="O58" s="282"/>
      <c r="P58" s="330"/>
      <c r="Q58" s="327">
        <f t="shared" si="85"/>
        <v>0</v>
      </c>
      <c r="R58" s="327">
        <f t="shared" si="86"/>
        <v>9.6869999999999994</v>
      </c>
      <c r="S58" s="327">
        <f t="shared" si="87"/>
        <v>0</v>
      </c>
      <c r="T58" s="327">
        <f t="shared" si="88"/>
        <v>0</v>
      </c>
      <c r="U58" s="327">
        <f t="shared" si="89"/>
        <v>8.6029999999999998</v>
      </c>
      <c r="V58" s="327">
        <f t="shared" si="90"/>
        <v>0</v>
      </c>
      <c r="W58" s="327">
        <f t="shared" si="91"/>
        <v>0</v>
      </c>
      <c r="X58" s="327">
        <f t="shared" si="92"/>
        <v>7.5890000000000004</v>
      </c>
      <c r="Y58" s="327">
        <f t="shared" si="93"/>
        <v>0</v>
      </c>
      <c r="Z58" s="327">
        <f t="shared" si="94"/>
        <v>0</v>
      </c>
      <c r="AA58" s="327">
        <f t="shared" si="95"/>
        <v>1.296</v>
      </c>
      <c r="AB58" s="327">
        <f t="shared" si="96"/>
        <v>0</v>
      </c>
      <c r="AC58" s="327">
        <f t="shared" si="97"/>
        <v>0</v>
      </c>
      <c r="AD58" s="327">
        <f t="shared" si="98"/>
        <v>2.1379999999999999</v>
      </c>
      <c r="AE58" s="327">
        <f t="shared" si="99"/>
        <v>0</v>
      </c>
      <c r="AF58" s="327">
        <f t="shared" si="100"/>
        <v>0</v>
      </c>
      <c r="AG58" s="327">
        <f t="shared" si="101"/>
        <v>6.48</v>
      </c>
      <c r="AH58" s="327">
        <f t="shared" si="102"/>
        <v>0</v>
      </c>
      <c r="AI58" s="327">
        <f t="shared" si="103"/>
        <v>0</v>
      </c>
      <c r="AJ58" s="327">
        <f t="shared" si="104"/>
        <v>8.7050000000000001</v>
      </c>
      <c r="AK58" s="327">
        <f t="shared" si="105"/>
        <v>0</v>
      </c>
      <c r="AL58" s="328">
        <f t="shared" si="106"/>
        <v>44.497999999999998</v>
      </c>
      <c r="AM58" s="327">
        <f t="shared" si="107"/>
        <v>0</v>
      </c>
      <c r="AN58" s="327">
        <f t="shared" si="107"/>
        <v>44.497999999999998</v>
      </c>
      <c r="AO58" s="327">
        <f t="shared" si="107"/>
        <v>0</v>
      </c>
      <c r="AP58" s="183">
        <f t="shared" si="57"/>
        <v>0</v>
      </c>
    </row>
    <row r="59" spans="1:42" ht="15.75">
      <c r="A59" s="236"/>
      <c r="B59" s="256"/>
      <c r="C59" s="236" t="s">
        <v>154</v>
      </c>
      <c r="D59" s="257"/>
      <c r="E59" s="238"/>
      <c r="F59" s="238"/>
      <c r="G59" s="237">
        <v>0.04</v>
      </c>
      <c r="H59" s="240">
        <v>0.04</v>
      </c>
      <c r="I59" s="178"/>
      <c r="J59" s="257"/>
      <c r="K59" s="238"/>
      <c r="L59" s="238"/>
      <c r="M59" s="529"/>
      <c r="N59" s="529"/>
      <c r="O59" s="282"/>
      <c r="P59" s="330"/>
      <c r="Q59" s="327">
        <f>D59*$Q$9</f>
        <v>0</v>
      </c>
      <c r="R59" s="327">
        <f>G59*$Q$9</f>
        <v>16.145</v>
      </c>
      <c r="S59" s="327">
        <f>J59*$Q$9</f>
        <v>0</v>
      </c>
      <c r="T59" s="327">
        <f>D59*$R$9</f>
        <v>0</v>
      </c>
      <c r="U59" s="327">
        <f>G59*$R$9</f>
        <v>14.337999999999999</v>
      </c>
      <c r="V59" s="327">
        <f>J59*$R$9</f>
        <v>0</v>
      </c>
      <c r="W59" s="327">
        <f>D59*$S$9</f>
        <v>0</v>
      </c>
      <c r="X59" s="327">
        <f>G59*$S$9</f>
        <v>12.648</v>
      </c>
      <c r="Y59" s="327">
        <f>J59*$S$9</f>
        <v>0</v>
      </c>
      <c r="Z59" s="327">
        <f>D59*$T$9</f>
        <v>0</v>
      </c>
      <c r="AA59" s="327">
        <f>G59*$T$9</f>
        <v>2.16</v>
      </c>
      <c r="AB59" s="327">
        <f>J59*$T$9</f>
        <v>0</v>
      </c>
      <c r="AC59" s="327">
        <f>D59*$U$9</f>
        <v>0</v>
      </c>
      <c r="AD59" s="327">
        <f>G59*$U$9</f>
        <v>3.5640000000000001</v>
      </c>
      <c r="AE59" s="327">
        <f>J59*$U$9</f>
        <v>0</v>
      </c>
      <c r="AF59" s="327">
        <f>D59*$V$9</f>
        <v>0</v>
      </c>
      <c r="AG59" s="327">
        <f>G59*$V$9</f>
        <v>10.8</v>
      </c>
      <c r="AH59" s="327">
        <f>J59*$V$9</f>
        <v>0</v>
      </c>
      <c r="AI59" s="327">
        <f>D59*$W$9</f>
        <v>0</v>
      </c>
      <c r="AJ59" s="327">
        <f>G59*$W$9</f>
        <v>14.507999999999999</v>
      </c>
      <c r="AK59" s="327">
        <f>J59*$W$9</f>
        <v>0</v>
      </c>
      <c r="AL59" s="328">
        <f>AM59+AN59+AO59</f>
        <v>74.162999999999997</v>
      </c>
      <c r="AM59" s="327">
        <f>Q59+T59+W59+Z59+AC59+AF59+AI59</f>
        <v>0</v>
      </c>
      <c r="AN59" s="327">
        <f>R59+U59+X59+AA59+AD59+AG59+AJ59</f>
        <v>74.162999999999997</v>
      </c>
      <c r="AO59" s="327">
        <f>S59+V59+Y59+AB59+AE59+AH59+AK59</f>
        <v>0</v>
      </c>
    </row>
    <row r="60" spans="1:42" ht="15.75">
      <c r="A60" s="236">
        <v>30</v>
      </c>
      <c r="B60" s="236" t="s">
        <v>193</v>
      </c>
      <c r="C60" s="236" t="s">
        <v>155</v>
      </c>
      <c r="D60" s="257"/>
      <c r="E60" s="238"/>
      <c r="F60" s="238"/>
      <c r="G60" s="239">
        <v>0.34399999999999997</v>
      </c>
      <c r="H60" s="245">
        <f>G60</f>
        <v>0.34399999999999997</v>
      </c>
      <c r="I60" s="238"/>
      <c r="J60" s="257"/>
      <c r="K60" s="238"/>
      <c r="L60" s="238"/>
      <c r="M60" s="529">
        <f>G60+G61+G62</f>
        <v>0.51880000000000004</v>
      </c>
      <c r="N60" s="530">
        <f>M60</f>
        <v>0.51880000000000004</v>
      </c>
      <c r="O60" s="529"/>
      <c r="P60" s="330"/>
      <c r="Q60" s="327">
        <f t="shared" si="85"/>
        <v>0</v>
      </c>
      <c r="R60" s="327">
        <f t="shared" si="86"/>
        <v>138.845</v>
      </c>
      <c r="S60" s="327">
        <f t="shared" si="87"/>
        <v>0</v>
      </c>
      <c r="T60" s="327">
        <f t="shared" si="88"/>
        <v>0</v>
      </c>
      <c r="U60" s="327">
        <f t="shared" si="89"/>
        <v>123.303</v>
      </c>
      <c r="V60" s="327">
        <f t="shared" si="90"/>
        <v>0</v>
      </c>
      <c r="W60" s="327">
        <f t="shared" si="91"/>
        <v>0</v>
      </c>
      <c r="X60" s="327">
        <f t="shared" si="92"/>
        <v>108.773</v>
      </c>
      <c r="Y60" s="327">
        <f t="shared" si="93"/>
        <v>0</v>
      </c>
      <c r="Z60" s="327">
        <f t="shared" si="94"/>
        <v>0</v>
      </c>
      <c r="AA60" s="327">
        <f t="shared" si="95"/>
        <v>18.576000000000001</v>
      </c>
      <c r="AB60" s="327">
        <f t="shared" si="96"/>
        <v>0</v>
      </c>
      <c r="AC60" s="327">
        <f t="shared" si="97"/>
        <v>0</v>
      </c>
      <c r="AD60" s="327">
        <f t="shared" si="98"/>
        <v>30.65</v>
      </c>
      <c r="AE60" s="327">
        <f t="shared" si="99"/>
        <v>0</v>
      </c>
      <c r="AF60" s="327">
        <f t="shared" si="100"/>
        <v>0</v>
      </c>
      <c r="AG60" s="327">
        <f t="shared" si="101"/>
        <v>92.88</v>
      </c>
      <c r="AH60" s="327">
        <f t="shared" si="102"/>
        <v>0</v>
      </c>
      <c r="AI60" s="327">
        <f t="shared" si="103"/>
        <v>0</v>
      </c>
      <c r="AJ60" s="327">
        <f t="shared" si="104"/>
        <v>124.76900000000001</v>
      </c>
      <c r="AK60" s="327">
        <f t="shared" si="105"/>
        <v>0</v>
      </c>
      <c r="AL60" s="328">
        <f t="shared" si="106"/>
        <v>637.79600000000005</v>
      </c>
      <c r="AM60" s="327">
        <f t="shared" si="107"/>
        <v>0</v>
      </c>
      <c r="AN60" s="327">
        <f t="shared" si="107"/>
        <v>637.79600000000005</v>
      </c>
      <c r="AO60" s="327">
        <f t="shared" si="107"/>
        <v>0</v>
      </c>
      <c r="AP60" s="183">
        <f t="shared" si="57"/>
        <v>0</v>
      </c>
    </row>
    <row r="61" spans="1:42" ht="15.75">
      <c r="A61" s="236"/>
      <c r="B61" s="256"/>
      <c r="C61" s="236" t="s">
        <v>156</v>
      </c>
      <c r="D61" s="257"/>
      <c r="E61" s="238"/>
      <c r="F61" s="238"/>
      <c r="G61" s="239">
        <v>9.35E-2</v>
      </c>
      <c r="H61" s="240">
        <v>9.35E-2</v>
      </c>
      <c r="I61" s="238"/>
      <c r="J61" s="257"/>
      <c r="K61" s="238"/>
      <c r="L61" s="238"/>
      <c r="M61" s="529"/>
      <c r="N61" s="530"/>
      <c r="O61" s="529"/>
      <c r="P61" s="334"/>
      <c r="Q61" s="332">
        <f t="shared" si="85"/>
        <v>0</v>
      </c>
      <c r="R61" s="332">
        <f t="shared" si="86"/>
        <v>37.738</v>
      </c>
      <c r="S61" s="332">
        <f t="shared" si="87"/>
        <v>0</v>
      </c>
      <c r="T61" s="332">
        <f t="shared" si="88"/>
        <v>0</v>
      </c>
      <c r="U61" s="332">
        <f t="shared" si="89"/>
        <v>33.514000000000003</v>
      </c>
      <c r="V61" s="332">
        <f t="shared" si="90"/>
        <v>0</v>
      </c>
      <c r="W61" s="332">
        <f t="shared" si="91"/>
        <v>0</v>
      </c>
      <c r="X61" s="332">
        <f t="shared" si="92"/>
        <v>29.565000000000001</v>
      </c>
      <c r="Y61" s="332">
        <f t="shared" si="93"/>
        <v>0</v>
      </c>
      <c r="Z61" s="332">
        <f t="shared" si="94"/>
        <v>0</v>
      </c>
      <c r="AA61" s="332">
        <f t="shared" si="95"/>
        <v>5.0490000000000004</v>
      </c>
      <c r="AB61" s="332">
        <f t="shared" si="96"/>
        <v>0</v>
      </c>
      <c r="AC61" s="332">
        <f t="shared" si="97"/>
        <v>0</v>
      </c>
      <c r="AD61" s="332">
        <f t="shared" si="98"/>
        <v>8.3309999999999995</v>
      </c>
      <c r="AE61" s="332">
        <f t="shared" si="99"/>
        <v>0</v>
      </c>
      <c r="AF61" s="332">
        <f t="shared" si="100"/>
        <v>0</v>
      </c>
      <c r="AG61" s="332">
        <f t="shared" si="101"/>
        <v>25.245000000000001</v>
      </c>
      <c r="AH61" s="332">
        <f t="shared" si="102"/>
        <v>0</v>
      </c>
      <c r="AI61" s="332">
        <f t="shared" si="103"/>
        <v>0</v>
      </c>
      <c r="AJ61" s="332">
        <f t="shared" si="104"/>
        <v>33.911999999999999</v>
      </c>
      <c r="AK61" s="332">
        <f t="shared" si="105"/>
        <v>0</v>
      </c>
      <c r="AL61" s="328">
        <f t="shared" si="106"/>
        <v>173.35400000000001</v>
      </c>
      <c r="AM61" s="332">
        <f t="shared" si="107"/>
        <v>0</v>
      </c>
      <c r="AN61" s="332">
        <f t="shared" si="107"/>
        <v>173.35400000000001</v>
      </c>
      <c r="AO61" s="332">
        <f t="shared" si="107"/>
        <v>0</v>
      </c>
      <c r="AP61" s="183">
        <f t="shared" si="57"/>
        <v>0</v>
      </c>
    </row>
    <row r="62" spans="1:42" ht="15.75">
      <c r="A62" s="236"/>
      <c r="B62" s="256"/>
      <c r="C62" s="236" t="s">
        <v>157</v>
      </c>
      <c r="D62" s="257"/>
      <c r="E62" s="238"/>
      <c r="F62" s="238"/>
      <c r="G62" s="239">
        <v>8.1299999999999997E-2</v>
      </c>
      <c r="H62" s="240">
        <v>8.1299999999999997E-2</v>
      </c>
      <c r="I62" s="238"/>
      <c r="J62" s="257"/>
      <c r="K62" s="238"/>
      <c r="L62" s="238"/>
      <c r="M62" s="529"/>
      <c r="N62" s="530"/>
      <c r="O62" s="529"/>
      <c r="P62" s="334"/>
      <c r="Q62" s="332">
        <f t="shared" si="85"/>
        <v>0</v>
      </c>
      <c r="R62" s="332">
        <f t="shared" si="86"/>
        <v>32.814</v>
      </c>
      <c r="S62" s="332">
        <f t="shared" si="87"/>
        <v>0</v>
      </c>
      <c r="T62" s="332">
        <f t="shared" si="88"/>
        <v>0</v>
      </c>
      <c r="U62" s="332">
        <f t="shared" si="89"/>
        <v>29.140999999999998</v>
      </c>
      <c r="V62" s="332">
        <f t="shared" si="90"/>
        <v>0</v>
      </c>
      <c r="W62" s="332">
        <f t="shared" si="91"/>
        <v>0</v>
      </c>
      <c r="X62" s="332">
        <f t="shared" si="92"/>
        <v>25.707000000000001</v>
      </c>
      <c r="Y62" s="332">
        <f t="shared" si="93"/>
        <v>0</v>
      </c>
      <c r="Z62" s="332">
        <f t="shared" si="94"/>
        <v>0</v>
      </c>
      <c r="AA62" s="332">
        <f t="shared" si="95"/>
        <v>4.3899999999999997</v>
      </c>
      <c r="AB62" s="332">
        <f t="shared" si="96"/>
        <v>0</v>
      </c>
      <c r="AC62" s="332">
        <f t="shared" si="97"/>
        <v>0</v>
      </c>
      <c r="AD62" s="332">
        <f t="shared" si="98"/>
        <v>7.2439999999999998</v>
      </c>
      <c r="AE62" s="332">
        <f t="shared" si="99"/>
        <v>0</v>
      </c>
      <c r="AF62" s="332">
        <f t="shared" si="100"/>
        <v>0</v>
      </c>
      <c r="AG62" s="332">
        <f t="shared" si="101"/>
        <v>21.951000000000001</v>
      </c>
      <c r="AH62" s="332">
        <f t="shared" si="102"/>
        <v>0</v>
      </c>
      <c r="AI62" s="332">
        <f t="shared" si="103"/>
        <v>0</v>
      </c>
      <c r="AJ62" s="332">
        <f t="shared" si="104"/>
        <v>29.488</v>
      </c>
      <c r="AK62" s="332">
        <f t="shared" si="105"/>
        <v>0</v>
      </c>
      <c r="AL62" s="328">
        <f t="shared" si="106"/>
        <v>150.73500000000001</v>
      </c>
      <c r="AM62" s="332">
        <f t="shared" si="107"/>
        <v>0</v>
      </c>
      <c r="AN62" s="332">
        <f t="shared" si="107"/>
        <v>150.73500000000001</v>
      </c>
      <c r="AO62" s="332">
        <f t="shared" si="107"/>
        <v>0</v>
      </c>
      <c r="AP62" s="183">
        <f t="shared" si="57"/>
        <v>0</v>
      </c>
    </row>
    <row r="63" spans="1:42" ht="15.75">
      <c r="A63" s="236">
        <v>32</v>
      </c>
      <c r="B63" s="236" t="s">
        <v>194</v>
      </c>
      <c r="C63" s="236" t="s">
        <v>158</v>
      </c>
      <c r="D63" s="257"/>
      <c r="E63" s="238"/>
      <c r="F63" s="238"/>
      <c r="G63" s="239">
        <v>0.13300000000000001</v>
      </c>
      <c r="H63" s="240">
        <v>0.13</v>
      </c>
      <c r="I63" s="240">
        <v>3.0000000000000001E-3</v>
      </c>
      <c r="J63" s="257"/>
      <c r="K63" s="238"/>
      <c r="L63" s="238"/>
      <c r="M63" s="529">
        <f>G63+G64</f>
        <v>0.2072</v>
      </c>
      <c r="N63" s="529">
        <f>H63+H64</f>
        <v>0.20419999999999999</v>
      </c>
      <c r="O63" s="529">
        <f>I63+I64</f>
        <v>3.0000000000000001E-3</v>
      </c>
      <c r="P63" s="334"/>
      <c r="Q63" s="332">
        <f t="shared" si="85"/>
        <v>0</v>
      </c>
      <c r="R63" s="332">
        <f t="shared" si="86"/>
        <v>53.680999999999997</v>
      </c>
      <c r="S63" s="332">
        <f t="shared" si="87"/>
        <v>0</v>
      </c>
      <c r="T63" s="332">
        <f t="shared" si="88"/>
        <v>0</v>
      </c>
      <c r="U63" s="332">
        <f t="shared" si="89"/>
        <v>47.673000000000002</v>
      </c>
      <c r="V63" s="332">
        <f t="shared" si="90"/>
        <v>0</v>
      </c>
      <c r="W63" s="332">
        <f t="shared" si="91"/>
        <v>0</v>
      </c>
      <c r="X63" s="332">
        <f t="shared" si="92"/>
        <v>42.055</v>
      </c>
      <c r="Y63" s="332">
        <f t="shared" si="93"/>
        <v>0</v>
      </c>
      <c r="Z63" s="332">
        <f t="shared" si="94"/>
        <v>0</v>
      </c>
      <c r="AA63" s="332">
        <f t="shared" si="95"/>
        <v>7.1820000000000004</v>
      </c>
      <c r="AB63" s="332">
        <f t="shared" si="96"/>
        <v>0</v>
      </c>
      <c r="AC63" s="332">
        <f t="shared" si="97"/>
        <v>0</v>
      </c>
      <c r="AD63" s="332">
        <f t="shared" si="98"/>
        <v>11.85</v>
      </c>
      <c r="AE63" s="332">
        <f t="shared" si="99"/>
        <v>0</v>
      </c>
      <c r="AF63" s="332">
        <f t="shared" si="100"/>
        <v>0</v>
      </c>
      <c r="AG63" s="332">
        <f t="shared" si="101"/>
        <v>35.909999999999997</v>
      </c>
      <c r="AH63" s="332">
        <f t="shared" si="102"/>
        <v>0</v>
      </c>
      <c r="AI63" s="332">
        <f t="shared" si="103"/>
        <v>0</v>
      </c>
      <c r="AJ63" s="332">
        <f t="shared" si="104"/>
        <v>48.238999999999997</v>
      </c>
      <c r="AK63" s="332">
        <f t="shared" si="105"/>
        <v>0</v>
      </c>
      <c r="AL63" s="328">
        <f t="shared" si="106"/>
        <v>246.59</v>
      </c>
      <c r="AM63" s="332">
        <f t="shared" si="107"/>
        <v>0</v>
      </c>
      <c r="AN63" s="332">
        <f t="shared" si="107"/>
        <v>246.59</v>
      </c>
      <c r="AO63" s="332">
        <f t="shared" si="107"/>
        <v>0</v>
      </c>
      <c r="AP63" s="183">
        <f t="shared" si="57"/>
        <v>0</v>
      </c>
    </row>
    <row r="64" spans="1:42" ht="15.75">
      <c r="A64" s="236"/>
      <c r="B64" s="256"/>
      <c r="C64" s="236" t="s">
        <v>159</v>
      </c>
      <c r="D64" s="257"/>
      <c r="E64" s="238"/>
      <c r="F64" s="238"/>
      <c r="G64" s="239">
        <v>7.4200000000000002E-2</v>
      </c>
      <c r="H64" s="240">
        <f>G64</f>
        <v>7.4200000000000002E-2</v>
      </c>
      <c r="I64" s="240"/>
      <c r="J64" s="257"/>
      <c r="K64" s="238"/>
      <c r="L64" s="238"/>
      <c r="M64" s="529"/>
      <c r="N64" s="529"/>
      <c r="O64" s="529"/>
      <c r="P64" s="334"/>
      <c r="Q64" s="332">
        <f t="shared" si="85"/>
        <v>0</v>
      </c>
      <c r="R64" s="332">
        <f t="shared" si="86"/>
        <v>29.949000000000002</v>
      </c>
      <c r="S64" s="332">
        <f t="shared" si="87"/>
        <v>0</v>
      </c>
      <c r="T64" s="332">
        <f t="shared" si="88"/>
        <v>0</v>
      </c>
      <c r="U64" s="332">
        <f t="shared" si="89"/>
        <v>26.596</v>
      </c>
      <c r="V64" s="332">
        <f t="shared" si="90"/>
        <v>0</v>
      </c>
      <c r="W64" s="332">
        <f t="shared" si="91"/>
        <v>0</v>
      </c>
      <c r="X64" s="332">
        <f t="shared" si="92"/>
        <v>23.462</v>
      </c>
      <c r="Y64" s="332">
        <f t="shared" si="93"/>
        <v>0</v>
      </c>
      <c r="Z64" s="332">
        <f t="shared" si="94"/>
        <v>0</v>
      </c>
      <c r="AA64" s="332">
        <f t="shared" si="95"/>
        <v>4.0069999999999997</v>
      </c>
      <c r="AB64" s="332">
        <f t="shared" si="96"/>
        <v>0</v>
      </c>
      <c r="AC64" s="332">
        <f t="shared" si="97"/>
        <v>0</v>
      </c>
      <c r="AD64" s="332">
        <f t="shared" si="98"/>
        <v>6.6109999999999998</v>
      </c>
      <c r="AE64" s="332">
        <f t="shared" si="99"/>
        <v>0</v>
      </c>
      <c r="AF64" s="332">
        <f t="shared" si="100"/>
        <v>0</v>
      </c>
      <c r="AG64" s="332">
        <f t="shared" si="101"/>
        <v>20.033999999999999</v>
      </c>
      <c r="AH64" s="332">
        <f t="shared" si="102"/>
        <v>0</v>
      </c>
      <c r="AI64" s="332">
        <f t="shared" si="103"/>
        <v>0</v>
      </c>
      <c r="AJ64" s="332">
        <f t="shared" si="104"/>
        <v>26.911999999999999</v>
      </c>
      <c r="AK64" s="332">
        <f t="shared" si="105"/>
        <v>0</v>
      </c>
      <c r="AL64" s="328">
        <f t="shared" si="106"/>
        <v>137.571</v>
      </c>
      <c r="AM64" s="332">
        <f t="shared" si="107"/>
        <v>0</v>
      </c>
      <c r="AN64" s="332">
        <f t="shared" si="107"/>
        <v>137.571</v>
      </c>
      <c r="AO64" s="332">
        <f t="shared" si="107"/>
        <v>0</v>
      </c>
      <c r="AP64" s="183">
        <f t="shared" si="57"/>
        <v>0</v>
      </c>
    </row>
    <row r="65" spans="1:42" ht="16.5" thickBot="1">
      <c r="A65" s="283">
        <v>33</v>
      </c>
      <c r="B65" s="283" t="s">
        <v>376</v>
      </c>
      <c r="C65" s="283" t="s">
        <v>160</v>
      </c>
      <c r="D65" s="284"/>
      <c r="E65" s="285"/>
      <c r="F65" s="285"/>
      <c r="G65" s="286">
        <v>4.53E-2</v>
      </c>
      <c r="H65" s="287">
        <v>4.53E-2</v>
      </c>
      <c r="I65" s="285"/>
      <c r="J65" s="284"/>
      <c r="K65" s="285"/>
      <c r="L65" s="285"/>
      <c r="M65" s="288">
        <v>4.53E-2</v>
      </c>
      <c r="N65" s="288">
        <v>4.53E-2</v>
      </c>
      <c r="O65" s="285"/>
      <c r="P65" s="334"/>
      <c r="Q65" s="332">
        <f t="shared" si="85"/>
        <v>0</v>
      </c>
      <c r="R65" s="332">
        <f t="shared" si="86"/>
        <v>18.283999999999999</v>
      </c>
      <c r="S65" s="332">
        <f t="shared" si="87"/>
        <v>0</v>
      </c>
      <c r="T65" s="332">
        <f t="shared" si="88"/>
        <v>0</v>
      </c>
      <c r="U65" s="332">
        <f t="shared" si="89"/>
        <v>16.236999999999998</v>
      </c>
      <c r="V65" s="332">
        <f t="shared" si="90"/>
        <v>0</v>
      </c>
      <c r="W65" s="332">
        <f t="shared" si="91"/>
        <v>0</v>
      </c>
      <c r="X65" s="332">
        <f t="shared" si="92"/>
        <v>14.324</v>
      </c>
      <c r="Y65" s="332">
        <f t="shared" si="93"/>
        <v>0</v>
      </c>
      <c r="Z65" s="332">
        <f t="shared" si="94"/>
        <v>0</v>
      </c>
      <c r="AA65" s="332">
        <f t="shared" si="95"/>
        <v>2.4460000000000002</v>
      </c>
      <c r="AB65" s="332">
        <f t="shared" si="96"/>
        <v>0</v>
      </c>
      <c r="AC65" s="332">
        <f t="shared" si="97"/>
        <v>0</v>
      </c>
      <c r="AD65" s="332">
        <f t="shared" si="98"/>
        <v>4.0359999999999996</v>
      </c>
      <c r="AE65" s="332">
        <f t="shared" si="99"/>
        <v>0</v>
      </c>
      <c r="AF65" s="332">
        <f t="shared" si="100"/>
        <v>0</v>
      </c>
      <c r="AG65" s="332">
        <f t="shared" si="101"/>
        <v>12.231</v>
      </c>
      <c r="AH65" s="332">
        <f t="shared" si="102"/>
        <v>0</v>
      </c>
      <c r="AI65" s="332">
        <f t="shared" si="103"/>
        <v>0</v>
      </c>
      <c r="AJ65" s="332">
        <f t="shared" si="104"/>
        <v>16.43</v>
      </c>
      <c r="AK65" s="332">
        <f t="shared" si="105"/>
        <v>0</v>
      </c>
      <c r="AL65" s="328">
        <f t="shared" si="106"/>
        <v>83.988</v>
      </c>
      <c r="AM65" s="332">
        <f t="shared" si="107"/>
        <v>0</v>
      </c>
      <c r="AN65" s="332">
        <f t="shared" si="107"/>
        <v>83.988</v>
      </c>
      <c r="AO65" s="332">
        <f t="shared" si="107"/>
        <v>0</v>
      </c>
      <c r="AP65" s="183">
        <f t="shared" si="57"/>
        <v>0</v>
      </c>
    </row>
    <row r="66" spans="1:42" ht="42.75" customHeight="1" thickBot="1">
      <c r="A66" s="358"/>
      <c r="B66" s="359" t="s">
        <v>161</v>
      </c>
      <c r="C66" s="360"/>
      <c r="D66" s="361">
        <f>SUM(D55:D65)+D45+D26+D25+D24+D19+D18+D17+D16+D15+D14+D13+D23+D44</f>
        <v>0.23499999999999999</v>
      </c>
      <c r="E66" s="362">
        <f>SUM(E55:E65)+E45+E26+E25+E24+E19+E18+E17+E16+E15+E14+E13</f>
        <v>0</v>
      </c>
      <c r="F66" s="362">
        <f>SUM(F55:F65)+F45+F26+F25+F24+F19+F18+F17+F16+F15+F14+F13+F23+F44</f>
        <v>0.23499999999999999</v>
      </c>
      <c r="G66" s="361">
        <f>G13+G14+G15+G16+G18+G19+G23+G24+G25+G26+G44+G55+G56+G57+G58+G59+G60+G61+G62+G63+G64+G65+G27+G52+G53+G54</f>
        <v>4.9847000000000001</v>
      </c>
      <c r="H66" s="362">
        <f>SUM(H55:H65)+H45+H26+H25+H24+H19+H18+H17+H16+H13+H23+H14+H15+H27+H44+H52+H53+H54</f>
        <v>4.9489000000000001</v>
      </c>
      <c r="I66" s="362">
        <f>SUM(I55:I65)+I45+I26+I25+I24+I19+I18+I17+I16+I13+I23</f>
        <v>3.5799999999999998E-2</v>
      </c>
      <c r="J66" s="361">
        <f>J17+J44+J52</f>
        <v>0.36509999999999998</v>
      </c>
      <c r="K66" s="361">
        <f>K17+K44+K52</f>
        <v>0.3301</v>
      </c>
      <c r="L66" s="361">
        <f>L17+L44+L52</f>
        <v>3.5000000000000003E-2</v>
      </c>
      <c r="M66" s="362">
        <f>M13+M14+M16+M17+M18+M19+M23+M24+M25+M26+M27+M44+M52+M53+M54+M55+M56+M57+M58+M60+M63+M65</f>
        <v>5.5848000000000004</v>
      </c>
      <c r="N66" s="362">
        <f>N13+N14+N16+N17+N18+N19+N23+N24+N25+N26+N27+N44+N52+N53+N54+N55+N56+N57+N58+N60+N63+N65</f>
        <v>5.2789999999999999</v>
      </c>
      <c r="O66" s="362">
        <f>O13+O14+O16+O17+O18+O19+O23+O24+O25+O26+O27+O44+O52+O53+O54+O55+O56+O57+O58+O60+O63+O65</f>
        <v>0.30580000000000002</v>
      </c>
      <c r="P66" s="362"/>
      <c r="Q66" s="363">
        <f>Q23+Q44+Q52</f>
        <v>94.852000000000004</v>
      </c>
      <c r="R66" s="364">
        <f>R13+R14+R15+R16+R18+R19+R23+R24+R25+R26+R27+R44+R52+R53+R54+R55+R56+R57+R58+R59+R60+R61+R62+R63+R64+R65</f>
        <v>1991.9259999999999</v>
      </c>
      <c r="S66" s="365">
        <f>S17+S44+S52</f>
        <v>147.36199999999999</v>
      </c>
      <c r="T66" s="363">
        <f>T23+T44+T52</f>
        <v>84.233999999999995</v>
      </c>
      <c r="U66" s="364">
        <f>U13+U14+U15+U16+U18+U19+U23+U24+U25+U26+U27+U44+U52+U53+U54+U55+U56+U57+U58+U59+U60+U61+U62+U63+U64+U65</f>
        <v>1769.654</v>
      </c>
      <c r="V66" s="365">
        <f>V17+V44+V52</f>
        <v>122.173</v>
      </c>
      <c r="W66" s="363">
        <f>W23+W44+W52</f>
        <v>74.307000000000002</v>
      </c>
      <c r="X66" s="364">
        <f>X13+X14+X15+X16+X18+X19+X23+X24+X25+X26+X27+X44+X52+X53+X54+X55+X56+X57+X58+X59+X60+X61+X62+X63+X64+X65</f>
        <v>1564.163</v>
      </c>
      <c r="Y66" s="365">
        <f>Y17+Y44+Y52</f>
        <v>95.444000000000003</v>
      </c>
      <c r="Z66" s="363">
        <f>Z23+Z44+Z52</f>
        <v>12.69</v>
      </c>
      <c r="AA66" s="364">
        <f>AA13+AA14+AA15+AA16+AA18+AA19+AA23+AA24+AA25+AA26+AA27+AA44+AA52+AA53+AA54+AA55+AA56+AA57+AA58+AA59+AA60+AA61+AA62+AA63+AA64+AA65</f>
        <v>269.173</v>
      </c>
      <c r="AB66" s="365">
        <f>AB17+AB44+AB52</f>
        <v>11.561</v>
      </c>
      <c r="AC66" s="363">
        <f>AC23+AC44+AC52</f>
        <v>20.939</v>
      </c>
      <c r="AD66" s="364">
        <f>AD13+AD14+AD15+AD16+AD18+AD19+AD23+AD24+AD25+AD26+AD27+AD44+AD52+AD53+AD54+AD55+AD56+AD57+AD58+AD59+AD60+AD61+AD62+AD63+AD64+AD65</f>
        <v>444.13799999999998</v>
      </c>
      <c r="AE66" s="365">
        <f>AE17+AE44+AE52</f>
        <v>19.077000000000002</v>
      </c>
      <c r="AF66" s="363">
        <f>AF23+AF44+AF52</f>
        <v>63.45</v>
      </c>
      <c r="AG66" s="364">
        <f>AG13+AG14+AG15+AG16+AG18+AG19+AG23+AG24+AG25+AG26+AG27+AG44+AG52+AG53+AG54+AG55+AG56+AG57+AG58+AG59+AG60+AG61+AG62+AG63+AG64+AG65</f>
        <v>1325.8689999999999</v>
      </c>
      <c r="AH66" s="365">
        <f>AH17+AH44+AH52</f>
        <v>88.576999999999998</v>
      </c>
      <c r="AI66" s="363">
        <f>AI23+AI44+AI52</f>
        <v>85.234999999999999</v>
      </c>
      <c r="AJ66" s="364">
        <f>AJ13+AJ14+AJ15+AJ16+AJ18+AJ19+AJ23+AJ24+AJ25+AJ26+AJ27+AJ44+AJ52+AJ53+AJ54+AJ55+AJ56+AJ57+AJ58+AJ59+AJ60+AJ61+AJ62+AJ63+AJ64+AJ65</f>
        <v>1787.953</v>
      </c>
      <c r="AK66" s="365">
        <f>AK17+AK44+AK52</f>
        <v>122.423</v>
      </c>
      <c r="AL66" s="364">
        <f>SUM(AL55:AL65)+AL44+AL26+AL25+AL24+AL19+AL18+AL17+AL16+AL15+AL14+AL13+AL23+AL27+AL52+AL53+AL54</f>
        <v>10195.200000000001</v>
      </c>
      <c r="AM66" s="363">
        <f>AM23+AM44+AM52</f>
        <v>435.70699999999999</v>
      </c>
      <c r="AN66" s="364">
        <f>AN13+AN14+AN15+AN16+AN18+AN19+AN23+AN24+AN25+AN26+AN27+AN44+AN52+AN53+AN54+AN55+AN56+AN57+AN58+AN59+AN60+AN61+AN62+AN63+AN64+AN65</f>
        <v>9152.8760000000002</v>
      </c>
      <c r="AO66" s="365">
        <f>AO17+AO44+AO52</f>
        <v>606.61699999999996</v>
      </c>
      <c r="AP66" s="183">
        <f t="shared" si="57"/>
        <v>159.35</v>
      </c>
    </row>
    <row r="67" spans="1:42">
      <c r="A67" s="366"/>
      <c r="B67" s="367"/>
      <c r="C67" s="367"/>
      <c r="D67" s="368"/>
      <c r="E67" s="369"/>
      <c r="F67" s="369"/>
      <c r="G67" s="368"/>
      <c r="H67" s="369"/>
      <c r="I67" s="369"/>
      <c r="J67" s="368"/>
      <c r="K67" s="370"/>
      <c r="L67" s="370"/>
      <c r="M67" s="371"/>
      <c r="N67" s="370"/>
      <c r="O67" s="370"/>
      <c r="P67" s="370"/>
      <c r="Q67" s="372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372"/>
      <c r="AC67" s="372"/>
      <c r="AD67" s="372"/>
      <c r="AE67" s="372"/>
      <c r="AF67" s="372"/>
      <c r="AG67" s="372"/>
      <c r="AH67" s="372"/>
      <c r="AI67" s="372"/>
      <c r="AJ67" s="372"/>
      <c r="AK67" s="372"/>
      <c r="AL67" s="373"/>
      <c r="AM67" s="372"/>
      <c r="AN67" s="372"/>
      <c r="AO67" s="372"/>
    </row>
    <row r="68" spans="1:42">
      <c r="A68" s="366"/>
      <c r="B68" s="367"/>
      <c r="C68" s="367"/>
      <c r="D68" s="368"/>
      <c r="E68" s="369"/>
      <c r="F68" s="369"/>
      <c r="G68" s="368"/>
      <c r="H68" s="369"/>
      <c r="I68" s="369"/>
      <c r="J68" s="368"/>
      <c r="K68" s="370"/>
      <c r="L68" s="370"/>
      <c r="M68" s="371"/>
      <c r="N68" s="369"/>
      <c r="O68" s="370"/>
      <c r="P68" s="369"/>
      <c r="Q68" s="372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2"/>
      <c r="AJ68" s="372"/>
      <c r="AK68" s="372"/>
      <c r="AL68" s="373"/>
      <c r="AM68" s="372"/>
      <c r="AN68" s="372"/>
      <c r="AO68" s="372"/>
    </row>
    <row r="69" spans="1:42">
      <c r="A69" s="366"/>
      <c r="B69" s="367"/>
      <c r="C69" s="367"/>
      <c r="D69" s="368"/>
      <c r="E69" s="369"/>
      <c r="F69" s="369"/>
      <c r="G69" s="368"/>
      <c r="H69" s="369"/>
      <c r="I69" s="369"/>
      <c r="J69" s="368"/>
      <c r="K69" s="369"/>
      <c r="L69" s="370"/>
      <c r="M69" s="368"/>
      <c r="N69" s="369"/>
      <c r="O69" s="369"/>
      <c r="P69" s="370"/>
      <c r="Q69" s="372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372"/>
      <c r="AC69" s="372"/>
      <c r="AD69" s="372"/>
      <c r="AE69" s="372"/>
      <c r="AF69" s="372"/>
      <c r="AG69" s="372"/>
      <c r="AH69" s="372"/>
      <c r="AI69" s="372"/>
      <c r="AJ69" s="372"/>
      <c r="AK69" s="372"/>
      <c r="AL69" s="373"/>
      <c r="AM69" s="372"/>
      <c r="AN69" s="372"/>
      <c r="AO69" s="372"/>
    </row>
    <row r="70" spans="1:42" ht="18">
      <c r="A70" s="366"/>
      <c r="B70" s="367"/>
      <c r="C70" s="374"/>
      <c r="D70" s="375"/>
      <c r="E70" s="376"/>
      <c r="F70" s="376"/>
      <c r="G70" s="377"/>
      <c r="H70" s="369"/>
      <c r="I70" s="369"/>
      <c r="J70" s="368"/>
      <c r="K70" s="370"/>
      <c r="L70" s="370"/>
      <c r="M70" s="378"/>
      <c r="N70" s="370"/>
      <c r="O70" s="379"/>
      <c r="P70" s="370"/>
      <c r="Q70" s="372"/>
      <c r="R70" s="372"/>
      <c r="S70" s="372"/>
      <c r="T70" s="372"/>
      <c r="U70" s="372"/>
      <c r="V70" s="372"/>
      <c r="W70" s="372"/>
      <c r="X70" s="372"/>
      <c r="Y70" s="372"/>
      <c r="Z70" s="372"/>
      <c r="AA70" s="372"/>
      <c r="AB70" s="372"/>
      <c r="AC70" s="372"/>
      <c r="AD70" s="372"/>
      <c r="AE70" s="372"/>
      <c r="AF70" s="372"/>
      <c r="AG70" s="379"/>
      <c r="AH70" s="372"/>
      <c r="AI70" s="372"/>
      <c r="AJ70" s="372"/>
      <c r="AK70" s="372"/>
      <c r="AL70" s="373"/>
      <c r="AM70" s="372"/>
      <c r="AN70" s="372"/>
      <c r="AO70" s="372"/>
    </row>
    <row r="71" spans="1:42" ht="15.75" customHeight="1">
      <c r="B71" s="380"/>
      <c r="C71" s="545" t="s">
        <v>94</v>
      </c>
      <c r="D71" s="545"/>
      <c r="E71" s="545"/>
      <c r="F71" s="545"/>
      <c r="G71" s="545"/>
      <c r="H71" s="545"/>
      <c r="I71" s="545"/>
      <c r="J71" s="545"/>
      <c r="K71" s="545"/>
      <c r="L71" s="545"/>
      <c r="N71" s="291"/>
      <c r="AM71" s="292">
        <f>AM66-AS32</f>
        <v>368.959</v>
      </c>
    </row>
    <row r="72" spans="1:42" ht="51.75" customHeight="1">
      <c r="B72" s="225"/>
      <c r="C72" s="546" t="s">
        <v>165</v>
      </c>
      <c r="D72" s="546"/>
      <c r="E72" s="546"/>
      <c r="F72" s="546"/>
      <c r="G72" s="546"/>
      <c r="H72" s="546"/>
      <c r="I72" s="546"/>
      <c r="J72" s="546"/>
      <c r="K72" s="546"/>
      <c r="L72" s="546"/>
      <c r="M72" s="290"/>
      <c r="Q72" s="292">
        <f>Q66+T66+W66+Z66+AC66+AF66+AI66</f>
        <v>435.70699999999999</v>
      </c>
      <c r="R72" s="292">
        <f>R66+U66+X66+AA66+AD66+AG66+AJ66</f>
        <v>9152.8760000000002</v>
      </c>
      <c r="S72" s="292">
        <f>S66+V66+Y66+AB66+AE66+AH66+AK66</f>
        <v>606.61699999999996</v>
      </c>
      <c r="T72" s="292"/>
      <c r="AL72" s="290">
        <f>AM66+AN66+AO66</f>
        <v>10195.200000000001</v>
      </c>
      <c r="AN72" s="183">
        <f>R66+U66+X66+AA66+AD66+AG66+AJ66</f>
        <v>9152.8799999999992</v>
      </c>
    </row>
    <row r="74" spans="1:42" ht="18"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42" ht="15" customHeight="1">
      <c r="C75" s="544" t="s">
        <v>166</v>
      </c>
      <c r="D75" s="544"/>
      <c r="E75" s="544"/>
      <c r="F75" s="544"/>
      <c r="G75" s="544"/>
      <c r="H75" s="544"/>
      <c r="I75" s="544"/>
      <c r="J75" s="544"/>
      <c r="K75" s="544"/>
      <c r="L75" s="544"/>
    </row>
    <row r="76" spans="1:42" ht="15" customHeight="1">
      <c r="C76" s="544"/>
      <c r="D76" s="544"/>
      <c r="E76" s="544"/>
      <c r="F76" s="544"/>
      <c r="G76" s="544"/>
      <c r="H76" s="544"/>
      <c r="I76" s="544"/>
      <c r="J76" s="544"/>
      <c r="K76" s="544"/>
      <c r="L76" s="544"/>
      <c r="M76" s="381"/>
      <c r="N76" s="293"/>
      <c r="O76" s="293"/>
    </row>
    <row r="77" spans="1:42">
      <c r="D77" s="381"/>
      <c r="E77" s="382"/>
      <c r="F77" s="382"/>
      <c r="G77" s="381"/>
      <c r="H77" s="382"/>
      <c r="I77" s="382"/>
      <c r="J77" s="381"/>
      <c r="K77" s="382"/>
      <c r="L77" s="382"/>
      <c r="M77" s="381"/>
    </row>
  </sheetData>
  <mergeCells count="30">
    <mergeCell ref="O60:O62"/>
    <mergeCell ref="M63:M64"/>
    <mergeCell ref="N63:N64"/>
    <mergeCell ref="O63:O64"/>
    <mergeCell ref="C71:L71"/>
    <mergeCell ref="C75:L76"/>
    <mergeCell ref="M14:M15"/>
    <mergeCell ref="N14:N15"/>
    <mergeCell ref="M58:M59"/>
    <mergeCell ref="N58:N59"/>
    <mergeCell ref="M60:M62"/>
    <mergeCell ref="N60:N62"/>
    <mergeCell ref="C72:L72"/>
    <mergeCell ref="AC11:AE11"/>
    <mergeCell ref="AF11:AH11"/>
    <mergeCell ref="AI11:AK11"/>
    <mergeCell ref="AL11:AO11"/>
    <mergeCell ref="Q11:S11"/>
    <mergeCell ref="T11:V11"/>
    <mergeCell ref="W11:Y11"/>
    <mergeCell ref="Z11:AB11"/>
    <mergeCell ref="B4:O4"/>
    <mergeCell ref="B5:O5"/>
    <mergeCell ref="A11:A12"/>
    <mergeCell ref="B11:B12"/>
    <mergeCell ref="C11:C12"/>
    <mergeCell ref="D11:L11"/>
    <mergeCell ref="M11:M12"/>
    <mergeCell ref="N11:N12"/>
    <mergeCell ref="O11:O12"/>
  </mergeCells>
  <phoneticPr fontId="2" type="noConversion"/>
  <pageMargins left="0.19685039370078741" right="0" top="0.19685039370078741" bottom="0.19685039370078741" header="0.51181102362204722" footer="0.51181102362204722"/>
  <pageSetup paperSize="9" scale="4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0"/>
  </sheetPr>
  <dimension ref="A2:V47"/>
  <sheetViews>
    <sheetView topLeftCell="E5" zoomScale="75" zoomScaleNormal="75" workbookViewId="0">
      <selection activeCell="D45" sqref="D45"/>
    </sheetView>
  </sheetViews>
  <sheetFormatPr defaultRowHeight="12.75"/>
  <cols>
    <col min="1" max="1" width="4.42578125" style="181" customWidth="1"/>
    <col min="2" max="2" width="42.42578125" style="181" customWidth="1"/>
    <col min="3" max="3" width="12.85546875" style="2" customWidth="1"/>
    <col min="4" max="4" width="12.140625" style="181" customWidth="1"/>
    <col min="5" max="5" width="11" style="181" customWidth="1"/>
    <col min="6" max="6" width="11.5703125" style="181" customWidth="1"/>
    <col min="7" max="7" width="15.42578125" style="181" customWidth="1"/>
    <col min="8" max="8" width="11.140625" style="186" customWidth="1"/>
    <col min="9" max="9" width="10.140625" style="2" customWidth="1"/>
    <col min="10" max="12" width="12.85546875" style="2" customWidth="1"/>
    <col min="13" max="13" width="15.5703125" style="2" customWidth="1"/>
    <col min="14" max="14" width="12.140625" style="181" customWidth="1"/>
    <col min="15" max="15" width="13.140625" style="181" customWidth="1"/>
    <col min="16" max="16" width="11.5703125" style="181" customWidth="1"/>
    <col min="17" max="17" width="19.5703125" style="2" customWidth="1"/>
    <col min="18" max="18" width="15.5703125" style="2" customWidth="1"/>
    <col min="19" max="19" width="12.28515625" style="181" customWidth="1"/>
    <col min="20" max="20" width="10.85546875" style="181" customWidth="1"/>
    <col min="21" max="21" width="11.140625" style="181" customWidth="1"/>
    <col min="22" max="16384" width="9.140625" style="181"/>
  </cols>
  <sheetData>
    <row r="2" spans="1:22" ht="18">
      <c r="C2" s="528" t="s">
        <v>311</v>
      </c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</row>
    <row r="3" spans="1:22" ht="18">
      <c r="C3" s="528" t="s">
        <v>167</v>
      </c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</row>
    <row r="4" spans="1:22" ht="21" customHeight="1">
      <c r="J4" s="3" t="s">
        <v>312</v>
      </c>
      <c r="K4" s="65"/>
      <c r="L4" s="65"/>
      <c r="M4" s="64"/>
      <c r="N4" s="62">
        <f>'[3]Вхідні дані'!E33</f>
        <v>31</v>
      </c>
      <c r="O4" s="3" t="s">
        <v>313</v>
      </c>
    </row>
    <row r="5" spans="1:22" ht="15.75">
      <c r="A5" s="54"/>
      <c r="B5" s="54"/>
      <c r="C5" s="54"/>
      <c r="D5" s="54"/>
      <c r="E5" s="54"/>
      <c r="F5" s="54"/>
      <c r="G5" s="547" t="s">
        <v>314</v>
      </c>
      <c r="H5" s="547"/>
      <c r="I5" s="547"/>
      <c r="J5" s="547"/>
      <c r="K5" s="547"/>
      <c r="L5" s="547"/>
      <c r="M5" s="547"/>
      <c r="N5" s="62">
        <v>24</v>
      </c>
      <c r="O5" s="63" t="s">
        <v>313</v>
      </c>
      <c r="P5" s="54"/>
      <c r="Q5" s="54"/>
      <c r="R5" s="54"/>
    </row>
    <row r="6" spans="1:22" ht="13.5" thickBot="1"/>
    <row r="7" spans="1:22" s="3" customFormat="1" ht="15" customHeight="1">
      <c r="A7" s="508" t="s">
        <v>179</v>
      </c>
      <c r="B7" s="508" t="s">
        <v>235</v>
      </c>
      <c r="C7" s="508" t="s">
        <v>307</v>
      </c>
      <c r="D7" s="548" t="s">
        <v>284</v>
      </c>
      <c r="E7" s="548" t="s">
        <v>285</v>
      </c>
      <c r="F7" s="548" t="s">
        <v>286</v>
      </c>
      <c r="G7" s="551" t="s">
        <v>315</v>
      </c>
      <c r="H7" s="558" t="s">
        <v>316</v>
      </c>
      <c r="I7" s="556" t="s">
        <v>304</v>
      </c>
      <c r="J7" s="554" t="s">
        <v>284</v>
      </c>
      <c r="K7" s="554" t="s">
        <v>285</v>
      </c>
      <c r="L7" s="554" t="s">
        <v>286</v>
      </c>
      <c r="M7" s="556" t="s">
        <v>310</v>
      </c>
      <c r="N7" s="554" t="s">
        <v>284</v>
      </c>
      <c r="O7" s="554" t="s">
        <v>285</v>
      </c>
      <c r="P7" s="554" t="s">
        <v>286</v>
      </c>
      <c r="Q7" s="556" t="s">
        <v>305</v>
      </c>
      <c r="R7" s="556" t="s">
        <v>306</v>
      </c>
      <c r="S7" s="554" t="s">
        <v>284</v>
      </c>
      <c r="T7" s="554" t="s">
        <v>285</v>
      </c>
      <c r="U7" s="554" t="s">
        <v>286</v>
      </c>
    </row>
    <row r="8" spans="1:22" s="3" customFormat="1" ht="13.5" customHeight="1">
      <c r="A8" s="509"/>
      <c r="B8" s="509"/>
      <c r="C8" s="509"/>
      <c r="D8" s="549"/>
      <c r="E8" s="549"/>
      <c r="F8" s="549"/>
      <c r="G8" s="552"/>
      <c r="H8" s="559"/>
      <c r="I8" s="557"/>
      <c r="J8" s="555"/>
      <c r="K8" s="555"/>
      <c r="L8" s="555"/>
      <c r="M8" s="557"/>
      <c r="N8" s="555"/>
      <c r="O8" s="555"/>
      <c r="P8" s="555"/>
      <c r="Q8" s="557"/>
      <c r="R8" s="557"/>
      <c r="S8" s="555"/>
      <c r="T8" s="555"/>
      <c r="U8" s="555"/>
    </row>
    <row r="9" spans="1:22" s="3" customFormat="1" ht="15" customHeight="1">
      <c r="A9" s="509"/>
      <c r="B9" s="509"/>
      <c r="C9" s="509"/>
      <c r="D9" s="549"/>
      <c r="E9" s="549"/>
      <c r="F9" s="549"/>
      <c r="G9" s="552"/>
      <c r="H9" s="559"/>
      <c r="I9" s="557"/>
      <c r="J9" s="555"/>
      <c r="K9" s="555"/>
      <c r="L9" s="555"/>
      <c r="M9" s="557"/>
      <c r="N9" s="555"/>
      <c r="O9" s="555"/>
      <c r="P9" s="555"/>
      <c r="Q9" s="557"/>
      <c r="R9" s="557"/>
      <c r="S9" s="555"/>
      <c r="T9" s="555"/>
      <c r="U9" s="555"/>
    </row>
    <row r="10" spans="1:22" s="3" customFormat="1" ht="15" customHeight="1">
      <c r="A10" s="509"/>
      <c r="B10" s="509"/>
      <c r="C10" s="509"/>
      <c r="D10" s="549"/>
      <c r="E10" s="549"/>
      <c r="F10" s="549"/>
      <c r="G10" s="552"/>
      <c r="H10" s="559"/>
      <c r="I10" s="557"/>
      <c r="J10" s="555"/>
      <c r="K10" s="555"/>
      <c r="L10" s="555"/>
      <c r="M10" s="557"/>
      <c r="N10" s="555"/>
      <c r="O10" s="555"/>
      <c r="P10" s="555"/>
      <c r="Q10" s="557"/>
      <c r="R10" s="557"/>
      <c r="S10" s="555"/>
      <c r="T10" s="555"/>
      <c r="U10" s="555"/>
    </row>
    <row r="11" spans="1:22" s="3" customFormat="1" ht="12.75" customHeight="1">
      <c r="A11" s="509"/>
      <c r="B11" s="509"/>
      <c r="C11" s="509"/>
      <c r="D11" s="549"/>
      <c r="E11" s="549"/>
      <c r="F11" s="549"/>
      <c r="G11" s="552"/>
      <c r="H11" s="559"/>
      <c r="I11" s="557"/>
      <c r="J11" s="555"/>
      <c r="K11" s="555"/>
      <c r="L11" s="555"/>
      <c r="M11" s="557"/>
      <c r="N11" s="555"/>
      <c r="O11" s="555"/>
      <c r="P11" s="555"/>
      <c r="Q11" s="557"/>
      <c r="R11" s="557"/>
      <c r="S11" s="555"/>
      <c r="T11" s="555"/>
      <c r="U11" s="555"/>
    </row>
    <row r="12" spans="1:22" s="3" customFormat="1" ht="15.75" customHeight="1" thickBot="1">
      <c r="A12" s="510"/>
      <c r="B12" s="510"/>
      <c r="C12" s="510"/>
      <c r="D12" s="550"/>
      <c r="E12" s="550"/>
      <c r="F12" s="550"/>
      <c r="G12" s="553"/>
      <c r="H12" s="559"/>
      <c r="I12" s="557"/>
      <c r="J12" s="555"/>
      <c r="K12" s="555"/>
      <c r="L12" s="555"/>
      <c r="M12" s="557"/>
      <c r="N12" s="555"/>
      <c r="O12" s="555"/>
      <c r="P12" s="555"/>
      <c r="Q12" s="557"/>
      <c r="R12" s="557"/>
      <c r="S12" s="555"/>
      <c r="T12" s="555"/>
      <c r="U12" s="555"/>
    </row>
    <row r="13" spans="1:22" s="3" customFormat="1" ht="16.5" thickBo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21</v>
      </c>
      <c r="R13" s="52">
        <v>25</v>
      </c>
      <c r="S13" s="6">
        <v>26</v>
      </c>
      <c r="T13" s="6">
        <v>27</v>
      </c>
      <c r="U13" s="6">
        <v>28</v>
      </c>
    </row>
    <row r="14" spans="1:22" s="3" customFormat="1" ht="15.75">
      <c r="A14" s="16">
        <v>1</v>
      </c>
      <c r="B14" s="17" t="s">
        <v>216</v>
      </c>
      <c r="C14" s="92">
        <f>D14+E14+F14</f>
        <v>47.405000000000001</v>
      </c>
      <c r="D14" s="20">
        <f>'[3]Річна потреба ТЕ на опалення'!Q13</f>
        <v>0</v>
      </c>
      <c r="E14" s="20">
        <f>'[3]Річна потреба ТЕ на опалення'!R13</f>
        <v>47.405000000000001</v>
      </c>
      <c r="F14" s="20">
        <f>'[3]Річна потреба ТЕ на опалення'!S13</f>
        <v>0</v>
      </c>
      <c r="G14" s="20">
        <v>60</v>
      </c>
      <c r="H14" s="23">
        <v>6.0000000000000001E-3</v>
      </c>
      <c r="I14" s="66">
        <f>M14-C14</f>
        <v>0.28599999999999998</v>
      </c>
      <c r="J14" s="23">
        <f>N14-D14</f>
        <v>0</v>
      </c>
      <c r="K14" s="23">
        <f>O14-E14</f>
        <v>0.28599999999999998</v>
      </c>
      <c r="L14" s="23">
        <f>P14-F14</f>
        <v>0</v>
      </c>
      <c r="M14" s="66">
        <f>C14/(100%-$H$14)</f>
        <v>47.691000000000003</v>
      </c>
      <c r="N14" s="23">
        <f>D14/(100%-H14)</f>
        <v>0</v>
      </c>
      <c r="O14" s="23">
        <f>E14/(100%-H14)</f>
        <v>47.691000000000003</v>
      </c>
      <c r="P14" s="23">
        <f>F14/(100%-H14)</f>
        <v>0</v>
      </c>
      <c r="Q14" s="66">
        <f t="shared" ref="Q14:Q34" si="0">R14-M14</f>
        <v>1.073</v>
      </c>
      <c r="R14" s="66">
        <f>(C14+I14)/(100%-2.2%)</f>
        <v>48.764000000000003</v>
      </c>
      <c r="S14" s="23">
        <f>(D14+J14)/(100%-2.2%)</f>
        <v>0</v>
      </c>
      <c r="T14" s="23">
        <f>(E14+K14)/(100%-2.2%)</f>
        <v>48.764000000000003</v>
      </c>
      <c r="U14" s="23">
        <f>(F14+L14)/(100%-2.2%)</f>
        <v>0</v>
      </c>
      <c r="V14" s="33">
        <f>R14-S14-T14-U14</f>
        <v>0</v>
      </c>
    </row>
    <row r="15" spans="1:22" s="3" customFormat="1" ht="15.75">
      <c r="A15" s="16">
        <v>2</v>
      </c>
      <c r="B15" s="21" t="s">
        <v>189</v>
      </c>
      <c r="C15" s="92">
        <f t="shared" ref="C15:C32" si="1">D15+E15+F15</f>
        <v>25.024999999999999</v>
      </c>
      <c r="D15" s="20">
        <f>'[3]Річна потреба ТЕ на опалення'!Q14+'[3]Річна потреба ТЕ на опалення'!Q15</f>
        <v>0</v>
      </c>
      <c r="E15" s="20">
        <f>'[3]Річна потреба ТЕ на опалення'!R14+'[3]Річна потреба ТЕ на опалення'!R15</f>
        <v>25.024999999999999</v>
      </c>
      <c r="F15" s="20">
        <f>'[3]Річна потреба ТЕ на опалення'!S14+'[3]Річна потреба ТЕ на опалення'!S15</f>
        <v>0</v>
      </c>
      <c r="G15" s="23"/>
      <c r="H15" s="23"/>
      <c r="I15" s="66">
        <f t="shared" ref="I15:L34" si="2">M15-C15</f>
        <v>0</v>
      </c>
      <c r="J15" s="23">
        <f t="shared" si="2"/>
        <v>0</v>
      </c>
      <c r="K15" s="23">
        <f t="shared" si="2"/>
        <v>0</v>
      </c>
      <c r="L15" s="23">
        <f t="shared" si="2"/>
        <v>0</v>
      </c>
      <c r="M15" s="66">
        <f t="shared" ref="M15:M34" si="3">C15/(100%-H15)</f>
        <v>25.024999999999999</v>
      </c>
      <c r="N15" s="23">
        <f t="shared" ref="N15:N34" si="4">D15/(100%-H15)</f>
        <v>0</v>
      </c>
      <c r="O15" s="23">
        <f t="shared" ref="O15:O34" si="5">E15/(100%-H15)</f>
        <v>25.024999999999999</v>
      </c>
      <c r="P15" s="23">
        <f t="shared" ref="P15:P34" si="6">F15/(100%-H15)</f>
        <v>0</v>
      </c>
      <c r="Q15" s="66">
        <f t="shared" si="0"/>
        <v>0.56299999999999994</v>
      </c>
      <c r="R15" s="66">
        <f t="shared" ref="R15:U34" si="7">(C15+I15)/(100%-2.2%)</f>
        <v>25.588000000000001</v>
      </c>
      <c r="S15" s="23">
        <f t="shared" si="7"/>
        <v>0</v>
      </c>
      <c r="T15" s="23">
        <f t="shared" si="7"/>
        <v>25.588000000000001</v>
      </c>
      <c r="U15" s="23">
        <f t="shared" si="7"/>
        <v>0</v>
      </c>
      <c r="V15" s="33">
        <f t="shared" ref="V15:V35" si="8">R15-S15-T15-U15</f>
        <v>0</v>
      </c>
    </row>
    <row r="16" spans="1:22" s="3" customFormat="1" ht="15.75">
      <c r="A16" s="22">
        <v>3</v>
      </c>
      <c r="B16" s="21" t="s">
        <v>217</v>
      </c>
      <c r="C16" s="92">
        <f t="shared" si="1"/>
        <v>59.735999999999997</v>
      </c>
      <c r="D16" s="20">
        <f>'[3]Річна потреба ТЕ на опалення'!Q16</f>
        <v>0</v>
      </c>
      <c r="E16" s="20">
        <f>'[3]Річна потреба ТЕ на опалення'!R16</f>
        <v>59.735999999999997</v>
      </c>
      <c r="F16" s="20">
        <f>'[3]Річна потреба ТЕ на опалення'!S16</f>
        <v>0</v>
      </c>
      <c r="G16" s="93">
        <v>42</v>
      </c>
      <c r="H16" s="93">
        <v>4.0000000000000001E-3</v>
      </c>
      <c r="I16" s="66">
        <f t="shared" si="2"/>
        <v>0.24</v>
      </c>
      <c r="J16" s="23">
        <f t="shared" si="2"/>
        <v>0</v>
      </c>
      <c r="K16" s="23">
        <f t="shared" si="2"/>
        <v>0.24</v>
      </c>
      <c r="L16" s="23">
        <f t="shared" si="2"/>
        <v>0</v>
      </c>
      <c r="M16" s="66">
        <f t="shared" si="3"/>
        <v>59.975999999999999</v>
      </c>
      <c r="N16" s="23">
        <f t="shared" si="4"/>
        <v>0</v>
      </c>
      <c r="O16" s="23">
        <f t="shared" si="5"/>
        <v>59.975999999999999</v>
      </c>
      <c r="P16" s="23">
        <f t="shared" si="6"/>
        <v>0</v>
      </c>
      <c r="Q16" s="66">
        <f t="shared" si="0"/>
        <v>1.349</v>
      </c>
      <c r="R16" s="66">
        <f t="shared" si="7"/>
        <v>61.325000000000003</v>
      </c>
      <c r="S16" s="23">
        <f t="shared" si="7"/>
        <v>0</v>
      </c>
      <c r="T16" s="23">
        <f t="shared" si="7"/>
        <v>61.325000000000003</v>
      </c>
      <c r="U16" s="23">
        <f t="shared" si="7"/>
        <v>0</v>
      </c>
      <c r="V16" s="33">
        <f t="shared" si="8"/>
        <v>0</v>
      </c>
    </row>
    <row r="17" spans="1:22" s="3" customFormat="1" ht="15.75">
      <c r="A17" s="72">
        <v>4</v>
      </c>
      <c r="B17" s="76" t="s">
        <v>218</v>
      </c>
      <c r="C17" s="94">
        <f t="shared" si="1"/>
        <v>14.127000000000001</v>
      </c>
      <c r="D17" s="95">
        <f>'[3]Річна потреба ТЕ на опалення'!Q17</f>
        <v>0</v>
      </c>
      <c r="E17" s="95">
        <f>'[3]Річна потреба ТЕ на опалення'!R17</f>
        <v>0</v>
      </c>
      <c r="F17" s="95">
        <f>'[3]Річна потреба ТЕ на опалення'!S17</f>
        <v>14.127000000000001</v>
      </c>
      <c r="G17" s="96">
        <f>0.02*1000</f>
        <v>20</v>
      </c>
      <c r="H17" s="205">
        <f>G17/100*1%</f>
        <v>2E-3</v>
      </c>
      <c r="I17" s="97">
        <f t="shared" si="2"/>
        <v>2.8000000000000001E-2</v>
      </c>
      <c r="J17" s="96">
        <f t="shared" si="2"/>
        <v>0</v>
      </c>
      <c r="K17" s="96">
        <f t="shared" si="2"/>
        <v>0</v>
      </c>
      <c r="L17" s="96">
        <f>P17-F17</f>
        <v>2.8000000000000001E-2</v>
      </c>
      <c r="M17" s="97">
        <f t="shared" si="3"/>
        <v>14.154999999999999</v>
      </c>
      <c r="N17" s="96">
        <f t="shared" si="4"/>
        <v>0</v>
      </c>
      <c r="O17" s="96">
        <f t="shared" si="5"/>
        <v>0</v>
      </c>
      <c r="P17" s="96">
        <f t="shared" si="6"/>
        <v>14.154999999999999</v>
      </c>
      <c r="Q17" s="66">
        <f t="shared" si="0"/>
        <v>0.318</v>
      </c>
      <c r="R17" s="66">
        <f t="shared" si="7"/>
        <v>14.473000000000001</v>
      </c>
      <c r="S17" s="23">
        <f t="shared" si="7"/>
        <v>0</v>
      </c>
      <c r="T17" s="23">
        <f t="shared" si="7"/>
        <v>0</v>
      </c>
      <c r="U17" s="23">
        <f t="shared" si="7"/>
        <v>14.473000000000001</v>
      </c>
      <c r="V17" s="33">
        <f t="shared" si="8"/>
        <v>0</v>
      </c>
    </row>
    <row r="18" spans="1:22" s="3" customFormat="1" ht="15.75">
      <c r="A18" s="22">
        <v>5</v>
      </c>
      <c r="B18" s="21" t="s">
        <v>359</v>
      </c>
      <c r="C18" s="92">
        <f t="shared" si="1"/>
        <v>75.072999999999993</v>
      </c>
      <c r="D18" s="20">
        <f>'[3]Річна потреба ТЕ на опалення'!Q18</f>
        <v>0</v>
      </c>
      <c r="E18" s="20">
        <f>'[3]Річна потреба ТЕ на опалення'!R18</f>
        <v>75.072999999999993</v>
      </c>
      <c r="F18" s="20">
        <f>'[3]Річна потреба ТЕ на опалення'!S18</f>
        <v>0</v>
      </c>
      <c r="G18" s="93">
        <f>0.07*1000</f>
        <v>70</v>
      </c>
      <c r="H18" s="206">
        <f>G18/100*1%</f>
        <v>7.0000000000000001E-3</v>
      </c>
      <c r="I18" s="66">
        <f t="shared" si="2"/>
        <v>0.52900000000000003</v>
      </c>
      <c r="J18" s="23">
        <f t="shared" si="2"/>
        <v>0</v>
      </c>
      <c r="K18" s="23">
        <f t="shared" si="2"/>
        <v>0.52900000000000003</v>
      </c>
      <c r="L18" s="23">
        <f t="shared" si="2"/>
        <v>0</v>
      </c>
      <c r="M18" s="66">
        <f t="shared" si="3"/>
        <v>75.602000000000004</v>
      </c>
      <c r="N18" s="23">
        <f t="shared" si="4"/>
        <v>0</v>
      </c>
      <c r="O18" s="23">
        <f t="shared" si="5"/>
        <v>75.602000000000004</v>
      </c>
      <c r="P18" s="23">
        <f t="shared" si="6"/>
        <v>0</v>
      </c>
      <c r="Q18" s="66">
        <f t="shared" si="0"/>
        <v>1.7010000000000001</v>
      </c>
      <c r="R18" s="66">
        <f t="shared" si="7"/>
        <v>77.302999999999997</v>
      </c>
      <c r="S18" s="23">
        <f t="shared" si="7"/>
        <v>0</v>
      </c>
      <c r="T18" s="23">
        <f t="shared" si="7"/>
        <v>77.302999999999997</v>
      </c>
      <c r="U18" s="23">
        <f t="shared" si="7"/>
        <v>0</v>
      </c>
      <c r="V18" s="33">
        <f t="shared" si="8"/>
        <v>0</v>
      </c>
    </row>
    <row r="19" spans="1:22" s="3" customFormat="1" ht="15.75">
      <c r="A19" s="22">
        <v>6</v>
      </c>
      <c r="B19" s="21" t="s">
        <v>190</v>
      </c>
      <c r="C19" s="92">
        <f t="shared" si="1"/>
        <v>32.29</v>
      </c>
      <c r="D19" s="20">
        <f>'[3]Річна потреба ТЕ на опалення'!Q19</f>
        <v>0</v>
      </c>
      <c r="E19" s="20">
        <f>'[3]Річна потреба ТЕ на опалення'!R19</f>
        <v>32.29</v>
      </c>
      <c r="F19" s="20">
        <f>'[3]Річна потреба ТЕ на опалення'!S19</f>
        <v>0</v>
      </c>
      <c r="G19" s="93">
        <v>23</v>
      </c>
      <c r="H19" s="206">
        <v>2.3E-3</v>
      </c>
      <c r="I19" s="66">
        <f t="shared" si="2"/>
        <v>7.3999999999999996E-2</v>
      </c>
      <c r="J19" s="23">
        <f t="shared" si="2"/>
        <v>0</v>
      </c>
      <c r="K19" s="23">
        <f t="shared" si="2"/>
        <v>7.3999999999999996E-2</v>
      </c>
      <c r="L19" s="23">
        <f t="shared" si="2"/>
        <v>0</v>
      </c>
      <c r="M19" s="66">
        <f t="shared" si="3"/>
        <v>32.363999999999997</v>
      </c>
      <c r="N19" s="23">
        <f t="shared" si="4"/>
        <v>0</v>
      </c>
      <c r="O19" s="23">
        <f t="shared" si="5"/>
        <v>32.363999999999997</v>
      </c>
      <c r="P19" s="23">
        <f t="shared" si="6"/>
        <v>0</v>
      </c>
      <c r="Q19" s="66">
        <f t="shared" si="0"/>
        <v>0.72799999999999998</v>
      </c>
      <c r="R19" s="66">
        <f t="shared" si="7"/>
        <v>33.091999999999999</v>
      </c>
      <c r="S19" s="23">
        <f t="shared" si="7"/>
        <v>0</v>
      </c>
      <c r="T19" s="23">
        <f t="shared" si="7"/>
        <v>33.091999999999999</v>
      </c>
      <c r="U19" s="23">
        <f t="shared" si="7"/>
        <v>0</v>
      </c>
      <c r="V19" s="33">
        <f t="shared" si="8"/>
        <v>0</v>
      </c>
    </row>
    <row r="20" spans="1:22" s="3" customFormat="1" ht="15.75">
      <c r="A20" s="22">
        <v>7</v>
      </c>
      <c r="B20" s="21" t="s">
        <v>360</v>
      </c>
      <c r="C20" s="92">
        <f t="shared" si="1"/>
        <v>44.923000000000002</v>
      </c>
      <c r="D20" s="20">
        <f>'[3]Річна потреба ТЕ на опалення'!Q23</f>
        <v>0</v>
      </c>
      <c r="E20" s="20">
        <f>'[3]Річна потреба ТЕ на опалення'!R23</f>
        <v>44.923000000000002</v>
      </c>
      <c r="F20" s="20">
        <f>'[3]Річна потреба ТЕ на опалення'!S23</f>
        <v>0</v>
      </c>
      <c r="G20" s="23">
        <v>225.5</v>
      </c>
      <c r="H20" s="207">
        <v>2.2599999999999999E-2</v>
      </c>
      <c r="I20" s="66">
        <f t="shared" si="2"/>
        <v>1.0389999999999999</v>
      </c>
      <c r="J20" s="23">
        <f t="shared" si="2"/>
        <v>0</v>
      </c>
      <c r="K20" s="23">
        <f t="shared" si="2"/>
        <v>1.0389999999999999</v>
      </c>
      <c r="L20" s="23">
        <f t="shared" si="2"/>
        <v>0</v>
      </c>
      <c r="M20" s="66">
        <f t="shared" si="3"/>
        <v>45.962000000000003</v>
      </c>
      <c r="N20" s="23">
        <f t="shared" si="4"/>
        <v>0</v>
      </c>
      <c r="O20" s="23">
        <f t="shared" si="5"/>
        <v>45.962000000000003</v>
      </c>
      <c r="P20" s="23">
        <f t="shared" si="6"/>
        <v>0</v>
      </c>
      <c r="Q20" s="66">
        <f t="shared" si="0"/>
        <v>1.034</v>
      </c>
      <c r="R20" s="66">
        <f t="shared" si="7"/>
        <v>46.996000000000002</v>
      </c>
      <c r="S20" s="23">
        <f t="shared" si="7"/>
        <v>0</v>
      </c>
      <c r="T20" s="23">
        <f t="shared" si="7"/>
        <v>46.996000000000002</v>
      </c>
      <c r="U20" s="23">
        <f t="shared" si="7"/>
        <v>0</v>
      </c>
      <c r="V20" s="33"/>
    </row>
    <row r="21" spans="1:22" s="3" customFormat="1" ht="15.75">
      <c r="A21" s="22">
        <v>8</v>
      </c>
      <c r="B21" s="21" t="s">
        <v>168</v>
      </c>
      <c r="C21" s="92">
        <f t="shared" si="1"/>
        <v>41.168999999999997</v>
      </c>
      <c r="D21" s="20">
        <v>0</v>
      </c>
      <c r="E21" s="20">
        <f>'[3]Річна потреба ТЕ на опалення'!R24</f>
        <v>41.168999999999997</v>
      </c>
      <c r="F21" s="20">
        <v>0</v>
      </c>
      <c r="G21" s="20"/>
      <c r="H21" s="207"/>
      <c r="I21" s="66">
        <v>0</v>
      </c>
      <c r="J21" s="23">
        <f t="shared" si="2"/>
        <v>0</v>
      </c>
      <c r="K21" s="23">
        <f t="shared" si="2"/>
        <v>0</v>
      </c>
      <c r="L21" s="23">
        <f t="shared" si="2"/>
        <v>0</v>
      </c>
      <c r="M21" s="66">
        <f t="shared" si="3"/>
        <v>41.168999999999997</v>
      </c>
      <c r="N21" s="23">
        <f>D21/(100%-H21)</f>
        <v>0</v>
      </c>
      <c r="O21" s="23">
        <f>E21/(100%-H21)</f>
        <v>41.168999999999997</v>
      </c>
      <c r="P21" s="23">
        <f>F21/(100%-H21)</f>
        <v>0</v>
      </c>
      <c r="Q21" s="66">
        <f t="shared" si="0"/>
        <v>0.92600000000000005</v>
      </c>
      <c r="R21" s="66">
        <f t="shared" si="7"/>
        <v>42.094999999999999</v>
      </c>
      <c r="S21" s="23">
        <f t="shared" si="7"/>
        <v>0</v>
      </c>
      <c r="T21" s="23">
        <f>(E21+K21)/(100%-2.2%)</f>
        <v>42.094999999999999</v>
      </c>
      <c r="U21" s="23">
        <f t="shared" si="7"/>
        <v>0</v>
      </c>
      <c r="V21" s="33"/>
    </row>
    <row r="22" spans="1:22" s="3" customFormat="1" ht="15.75">
      <c r="A22" s="22">
        <v>9</v>
      </c>
      <c r="B22" s="21" t="s">
        <v>221</v>
      </c>
      <c r="C22" s="92">
        <f>D22+E22+F22</f>
        <v>2.8660000000000001</v>
      </c>
      <c r="D22" s="23">
        <f>'[3]Річна потреба ТЕ на опалення'!Q25</f>
        <v>0</v>
      </c>
      <c r="E22" s="23">
        <f>'[3]Річна потреба ТЕ на опалення'!R25</f>
        <v>2.8660000000000001</v>
      </c>
      <c r="F22" s="23">
        <f>'[3]Річна потреба ТЕ на опалення'!S25</f>
        <v>0</v>
      </c>
      <c r="G22" s="23"/>
      <c r="H22" s="207"/>
      <c r="I22" s="66">
        <f t="shared" si="2"/>
        <v>0</v>
      </c>
      <c r="J22" s="23">
        <f t="shared" si="2"/>
        <v>0</v>
      </c>
      <c r="K22" s="23">
        <f t="shared" si="2"/>
        <v>0</v>
      </c>
      <c r="L22" s="23">
        <f t="shared" si="2"/>
        <v>0</v>
      </c>
      <c r="M22" s="66">
        <f>C22/(100%-H22)</f>
        <v>2.8660000000000001</v>
      </c>
      <c r="N22" s="23">
        <f>D22/(100%-H22)</f>
        <v>0</v>
      </c>
      <c r="O22" s="23">
        <f>E22/(100%-H22)</f>
        <v>2.8660000000000001</v>
      </c>
      <c r="P22" s="23">
        <f>F22/(100%-H22)</f>
        <v>0</v>
      </c>
      <c r="Q22" s="66">
        <f t="shared" si="0"/>
        <v>6.4000000000000001E-2</v>
      </c>
      <c r="R22" s="66">
        <f t="shared" si="7"/>
        <v>2.93</v>
      </c>
      <c r="S22" s="23">
        <f t="shared" si="7"/>
        <v>0</v>
      </c>
      <c r="T22" s="23">
        <f t="shared" si="7"/>
        <v>2.93</v>
      </c>
      <c r="U22" s="23">
        <f t="shared" si="7"/>
        <v>0</v>
      </c>
      <c r="V22" s="33" t="e">
        <f>#REF!-#REF!-#REF!-#REF!</f>
        <v>#REF!</v>
      </c>
    </row>
    <row r="23" spans="1:22" s="3" customFormat="1" ht="16.5" thickBot="1">
      <c r="A23" s="22">
        <v>10</v>
      </c>
      <c r="B23" s="21" t="s">
        <v>222</v>
      </c>
      <c r="C23" s="98">
        <f>D23+E23+F23</f>
        <v>10.372999999999999</v>
      </c>
      <c r="D23" s="30">
        <f>'[3]Річна потреба ТЕ на опалення'!Q26</f>
        <v>0</v>
      </c>
      <c r="E23" s="30">
        <f>'[3]Річна потреба ТЕ на опалення'!R26</f>
        <v>10.372999999999999</v>
      </c>
      <c r="F23" s="30">
        <f>'[3]Річна потреба ТЕ на опалення'!S26</f>
        <v>0</v>
      </c>
      <c r="G23" s="30"/>
      <c r="H23" s="31"/>
      <c r="I23" s="99">
        <f t="shared" si="2"/>
        <v>0</v>
      </c>
      <c r="J23" s="30">
        <f t="shared" si="2"/>
        <v>0</v>
      </c>
      <c r="K23" s="30">
        <f t="shared" si="2"/>
        <v>0</v>
      </c>
      <c r="L23" s="30">
        <f t="shared" si="2"/>
        <v>0</v>
      </c>
      <c r="M23" s="99">
        <f>C23/(100%-H23)</f>
        <v>10.372999999999999</v>
      </c>
      <c r="N23" s="30">
        <f>D23/(100%-H23)</f>
        <v>0</v>
      </c>
      <c r="O23" s="30">
        <f>E23/(100%-H23)</f>
        <v>10.372999999999999</v>
      </c>
      <c r="P23" s="30">
        <f>F23/(100%-H23)</f>
        <v>0</v>
      </c>
      <c r="Q23" s="66">
        <f t="shared" si="0"/>
        <v>0.23300000000000001</v>
      </c>
      <c r="R23" s="66">
        <f t="shared" si="7"/>
        <v>10.606</v>
      </c>
      <c r="S23" s="23">
        <f t="shared" si="7"/>
        <v>0</v>
      </c>
      <c r="T23" s="23">
        <f t="shared" si="7"/>
        <v>10.606</v>
      </c>
      <c r="U23" s="23">
        <f t="shared" si="7"/>
        <v>0</v>
      </c>
      <c r="V23" s="33">
        <f>R22-S22-T22-U22</f>
        <v>0</v>
      </c>
    </row>
    <row r="24" spans="1:22" s="3" customFormat="1" ht="16.5" thickBot="1">
      <c r="A24" s="22">
        <v>11</v>
      </c>
      <c r="B24" s="21" t="s">
        <v>223</v>
      </c>
      <c r="C24" s="98">
        <f>D24+E24+F24</f>
        <v>109.381</v>
      </c>
      <c r="D24" s="30">
        <f>'[3]Річна потреба ТЕ на опалення'!Q27</f>
        <v>0</v>
      </c>
      <c r="E24" s="208">
        <f>'[3]Річна потреба ТЕ на опалення'!R27</f>
        <v>109.381</v>
      </c>
      <c r="F24" s="30">
        <f>'[3]Річна потреба ТЕ на опалення'!S27</f>
        <v>0</v>
      </c>
      <c r="G24" s="30"/>
      <c r="H24" s="31"/>
      <c r="I24" s="99">
        <f t="shared" si="2"/>
        <v>0</v>
      </c>
      <c r="J24" s="30">
        <f t="shared" si="2"/>
        <v>0</v>
      </c>
      <c r="K24" s="30">
        <f t="shared" si="2"/>
        <v>0</v>
      </c>
      <c r="L24" s="30">
        <f t="shared" si="2"/>
        <v>0</v>
      </c>
      <c r="M24" s="99">
        <f>C24/(100%-H24)</f>
        <v>109.381</v>
      </c>
      <c r="N24" s="30">
        <f>D24/(100%-H24)</f>
        <v>0</v>
      </c>
      <c r="O24" s="30">
        <f>E24/(100%-H24)</f>
        <v>109.381</v>
      </c>
      <c r="P24" s="30">
        <f>F24/(100%-H24)</f>
        <v>0</v>
      </c>
      <c r="Q24" s="66">
        <f t="shared" si="0"/>
        <v>2.4609999999999999</v>
      </c>
      <c r="R24" s="66">
        <f t="shared" si="7"/>
        <v>111.842</v>
      </c>
      <c r="S24" s="23">
        <f t="shared" si="7"/>
        <v>0</v>
      </c>
      <c r="T24" s="23">
        <f t="shared" si="7"/>
        <v>111.842</v>
      </c>
      <c r="U24" s="23">
        <f t="shared" si="7"/>
        <v>0</v>
      </c>
      <c r="V24" s="33">
        <f>R23-S23-T23-U23</f>
        <v>0</v>
      </c>
    </row>
    <row r="25" spans="1:22" s="3" customFormat="1" ht="15.75">
      <c r="A25" s="22">
        <v>12</v>
      </c>
      <c r="B25" s="21" t="s">
        <v>224</v>
      </c>
      <c r="C25" s="92">
        <f t="shared" si="1"/>
        <v>543.39599999999996</v>
      </c>
      <c r="D25" s="20">
        <f>'[3]Річна потреба ТЕ на опалення'!Q44</f>
        <v>44.802999999999997</v>
      </c>
      <c r="E25" s="20">
        <f>'[3]Річна потреба ТЕ на опалення'!R44</f>
        <v>437.64600000000002</v>
      </c>
      <c r="F25" s="20">
        <f>'[3]Річна потреба ТЕ на опалення'!S44</f>
        <v>60.947000000000003</v>
      </c>
      <c r="G25" s="20">
        <v>1464</v>
      </c>
      <c r="H25" s="209">
        <v>7.5800000000000006E-2</v>
      </c>
      <c r="I25" s="92">
        <f t="shared" si="2"/>
        <v>44.567999999999998</v>
      </c>
      <c r="J25" s="20">
        <f t="shared" si="2"/>
        <v>3.6749999999999998</v>
      </c>
      <c r="K25" s="20">
        <f t="shared" si="2"/>
        <v>35.893999999999998</v>
      </c>
      <c r="L25" s="20">
        <f t="shared" si="2"/>
        <v>4.9989999999999997</v>
      </c>
      <c r="M25" s="92">
        <f t="shared" si="3"/>
        <v>587.96400000000006</v>
      </c>
      <c r="N25" s="20">
        <f t="shared" si="4"/>
        <v>48.478000000000002</v>
      </c>
      <c r="O25" s="20">
        <f t="shared" si="5"/>
        <v>473.54</v>
      </c>
      <c r="P25" s="20">
        <f t="shared" si="6"/>
        <v>65.945999999999998</v>
      </c>
      <c r="Q25" s="66">
        <f t="shared" si="0"/>
        <v>13.226000000000001</v>
      </c>
      <c r="R25" s="66">
        <f t="shared" si="7"/>
        <v>601.19000000000005</v>
      </c>
      <c r="S25" s="23">
        <f t="shared" si="7"/>
        <v>49.569000000000003</v>
      </c>
      <c r="T25" s="23">
        <f t="shared" si="7"/>
        <v>484.19200000000001</v>
      </c>
      <c r="U25" s="23">
        <f t="shared" si="7"/>
        <v>67.429000000000002</v>
      </c>
      <c r="V25" s="33">
        <f t="shared" si="8"/>
        <v>0</v>
      </c>
    </row>
    <row r="26" spans="1:22" s="3" customFormat="1" ht="15.75">
      <c r="A26" s="22">
        <v>13</v>
      </c>
      <c r="B26" s="21" t="s">
        <v>225</v>
      </c>
      <c r="C26" s="92">
        <f t="shared" si="1"/>
        <v>501.74</v>
      </c>
      <c r="D26" s="20">
        <f>'[3]Річна потреба ТЕ на опалення'!Q52</f>
        <v>50.048999999999999</v>
      </c>
      <c r="E26" s="20">
        <f>'[3]Річна потреба ТЕ на опалення'!R52</f>
        <v>379.40300000000002</v>
      </c>
      <c r="F26" s="20">
        <f>'[3]Річна потреба ТЕ на опалення'!S52</f>
        <v>72.287999999999997</v>
      </c>
      <c r="G26" s="23">
        <v>1398</v>
      </c>
      <c r="H26" s="207">
        <v>7.1900000000000006E-2</v>
      </c>
      <c r="I26" s="66">
        <f t="shared" si="2"/>
        <v>38.869999999999997</v>
      </c>
      <c r="J26" s="23">
        <f t="shared" si="2"/>
        <v>3.8769999999999998</v>
      </c>
      <c r="K26" s="23">
        <f t="shared" si="2"/>
        <v>29.391999999999999</v>
      </c>
      <c r="L26" s="23">
        <f t="shared" si="2"/>
        <v>5.6</v>
      </c>
      <c r="M26" s="66">
        <f t="shared" si="3"/>
        <v>540.61</v>
      </c>
      <c r="N26" s="23">
        <f t="shared" si="4"/>
        <v>53.926000000000002</v>
      </c>
      <c r="O26" s="23">
        <f t="shared" si="5"/>
        <v>408.79500000000002</v>
      </c>
      <c r="P26" s="23">
        <f t="shared" si="6"/>
        <v>77.888000000000005</v>
      </c>
      <c r="Q26" s="66">
        <f t="shared" si="0"/>
        <v>12.161</v>
      </c>
      <c r="R26" s="66">
        <f t="shared" si="7"/>
        <v>552.77099999999996</v>
      </c>
      <c r="S26" s="23">
        <f t="shared" si="7"/>
        <v>55.139000000000003</v>
      </c>
      <c r="T26" s="23">
        <f t="shared" si="7"/>
        <v>417.99099999999999</v>
      </c>
      <c r="U26" s="23">
        <f t="shared" si="7"/>
        <v>79.64</v>
      </c>
      <c r="V26" s="33">
        <f t="shared" si="8"/>
        <v>0</v>
      </c>
    </row>
    <row r="27" spans="1:22" s="3" customFormat="1" ht="15.75">
      <c r="A27" s="22">
        <v>14</v>
      </c>
      <c r="B27" s="21" t="s">
        <v>169</v>
      </c>
      <c r="C27" s="92">
        <f t="shared" si="1"/>
        <v>90.814999999999998</v>
      </c>
      <c r="D27" s="23">
        <f>'[3]Річна потреба ТЕ на опалення'!Q56</f>
        <v>0</v>
      </c>
      <c r="E27" s="23">
        <f>'[3]Річна потреба ТЕ на опалення'!R53</f>
        <v>90.814999999999998</v>
      </c>
      <c r="F27" s="23">
        <f>'[3]Річна потреба ТЕ на опалення'!S56</f>
        <v>0</v>
      </c>
      <c r="G27" s="23"/>
      <c r="H27" s="207"/>
      <c r="I27" s="66">
        <f t="shared" si="2"/>
        <v>0</v>
      </c>
      <c r="J27" s="23">
        <f t="shared" si="2"/>
        <v>0</v>
      </c>
      <c r="K27" s="23">
        <f t="shared" si="2"/>
        <v>0</v>
      </c>
      <c r="L27" s="23">
        <f t="shared" si="2"/>
        <v>0</v>
      </c>
      <c r="M27" s="66">
        <f t="shared" si="3"/>
        <v>90.814999999999998</v>
      </c>
      <c r="N27" s="23">
        <f t="shared" si="4"/>
        <v>0</v>
      </c>
      <c r="O27" s="23">
        <f t="shared" si="5"/>
        <v>90.814999999999998</v>
      </c>
      <c r="P27" s="23">
        <f t="shared" si="6"/>
        <v>0</v>
      </c>
      <c r="Q27" s="66">
        <f t="shared" si="0"/>
        <v>2.0430000000000001</v>
      </c>
      <c r="R27" s="66">
        <f t="shared" si="7"/>
        <v>92.858000000000004</v>
      </c>
      <c r="S27" s="23">
        <f t="shared" si="7"/>
        <v>0</v>
      </c>
      <c r="T27" s="23">
        <f t="shared" si="7"/>
        <v>92.858000000000004</v>
      </c>
      <c r="U27" s="23">
        <f t="shared" si="7"/>
        <v>0</v>
      </c>
      <c r="V27" s="33">
        <f t="shared" si="8"/>
        <v>0</v>
      </c>
    </row>
    <row r="28" spans="1:22" s="3" customFormat="1" ht="15.75">
      <c r="A28" s="22">
        <v>15</v>
      </c>
      <c r="B28" s="21" t="s">
        <v>362</v>
      </c>
      <c r="C28" s="92">
        <f t="shared" si="1"/>
        <v>129.15799999999999</v>
      </c>
      <c r="D28" s="23">
        <f>'[3]Річна потреба ТЕ на опалення'!Q57</f>
        <v>0</v>
      </c>
      <c r="E28" s="23">
        <f>'[3]Річна потреба ТЕ на опалення'!R54</f>
        <v>129.15799999999999</v>
      </c>
      <c r="F28" s="23">
        <f>'[3]Річна потреба ТЕ на опалення'!S57</f>
        <v>0</v>
      </c>
      <c r="G28" s="23">
        <v>7.5</v>
      </c>
      <c r="H28" s="207">
        <v>8.0000000000000004E-4</v>
      </c>
      <c r="I28" s="66">
        <f t="shared" si="2"/>
        <v>0.10299999999999999</v>
      </c>
      <c r="J28" s="23">
        <f t="shared" si="2"/>
        <v>0</v>
      </c>
      <c r="K28" s="23">
        <f t="shared" si="2"/>
        <v>0.10299999999999999</v>
      </c>
      <c r="L28" s="23">
        <f t="shared" si="2"/>
        <v>0</v>
      </c>
      <c r="M28" s="66">
        <f t="shared" si="3"/>
        <v>129.261</v>
      </c>
      <c r="N28" s="23">
        <f t="shared" si="4"/>
        <v>0</v>
      </c>
      <c r="O28" s="23">
        <f t="shared" si="5"/>
        <v>129.261</v>
      </c>
      <c r="P28" s="23">
        <f t="shared" si="6"/>
        <v>0</v>
      </c>
      <c r="Q28" s="66">
        <f t="shared" si="0"/>
        <v>2.9079999999999999</v>
      </c>
      <c r="R28" s="66">
        <f t="shared" si="7"/>
        <v>132.16900000000001</v>
      </c>
      <c r="S28" s="23">
        <f t="shared" si="7"/>
        <v>0</v>
      </c>
      <c r="T28" s="23">
        <f t="shared" si="7"/>
        <v>132.16900000000001</v>
      </c>
      <c r="U28" s="23">
        <f t="shared" si="7"/>
        <v>0</v>
      </c>
      <c r="V28" s="33">
        <f t="shared" si="8"/>
        <v>0</v>
      </c>
    </row>
    <row r="29" spans="1:22" s="3" customFormat="1" ht="15.75">
      <c r="A29" s="22">
        <v>16</v>
      </c>
      <c r="B29" s="21" t="s">
        <v>226</v>
      </c>
      <c r="C29" s="92">
        <f>D29+E29+F29</f>
        <v>86.778000000000006</v>
      </c>
      <c r="D29" s="23">
        <f>'[3]Річна потреба ТЕ на опалення'!Q58</f>
        <v>0</v>
      </c>
      <c r="E29" s="23">
        <f>('[3]Річна потреба ТЕ на опалення'!R55+'[3]Річна потреба ТЕ на опалення'!R56)</f>
        <v>86.778000000000006</v>
      </c>
      <c r="F29" s="23">
        <f>'[3]Річна потреба ТЕ на опалення'!S58</f>
        <v>0</v>
      </c>
      <c r="G29" s="23"/>
      <c r="H29" s="207"/>
      <c r="I29" s="66">
        <f t="shared" si="2"/>
        <v>0</v>
      </c>
      <c r="J29" s="23">
        <f t="shared" si="2"/>
        <v>0</v>
      </c>
      <c r="K29" s="23">
        <f t="shared" si="2"/>
        <v>0</v>
      </c>
      <c r="L29" s="23">
        <f t="shared" si="2"/>
        <v>0</v>
      </c>
      <c r="M29" s="66">
        <f t="shared" si="3"/>
        <v>86.778000000000006</v>
      </c>
      <c r="N29" s="23">
        <f t="shared" si="4"/>
        <v>0</v>
      </c>
      <c r="O29" s="23">
        <f t="shared" si="5"/>
        <v>86.778000000000006</v>
      </c>
      <c r="P29" s="23">
        <f t="shared" si="6"/>
        <v>0</v>
      </c>
      <c r="Q29" s="66">
        <f t="shared" si="0"/>
        <v>1.952</v>
      </c>
      <c r="R29" s="66">
        <f t="shared" si="7"/>
        <v>88.73</v>
      </c>
      <c r="S29" s="23">
        <f t="shared" si="7"/>
        <v>0</v>
      </c>
      <c r="T29" s="23">
        <f t="shared" si="7"/>
        <v>88.73</v>
      </c>
      <c r="U29" s="23">
        <f t="shared" si="7"/>
        <v>0</v>
      </c>
      <c r="V29" s="33">
        <f t="shared" si="8"/>
        <v>0</v>
      </c>
    </row>
    <row r="30" spans="1:22" s="3" customFormat="1" ht="15.75">
      <c r="A30" s="22">
        <v>17</v>
      </c>
      <c r="B30" s="21" t="s">
        <v>227</v>
      </c>
      <c r="C30" s="92">
        <f t="shared" si="1"/>
        <v>82.742000000000004</v>
      </c>
      <c r="D30" s="23">
        <f>'[3]Річна потреба ТЕ на опалення'!Q60</f>
        <v>0</v>
      </c>
      <c r="E30" s="23">
        <f>'[3]Річна потреба ТЕ на опалення'!R57</f>
        <v>82.742000000000004</v>
      </c>
      <c r="F30" s="23">
        <f>'[3]Річна потреба ТЕ на опалення'!S60</f>
        <v>0</v>
      </c>
      <c r="G30" s="23"/>
      <c r="H30" s="207"/>
      <c r="I30" s="66">
        <f t="shared" si="2"/>
        <v>0</v>
      </c>
      <c r="J30" s="23">
        <f t="shared" si="2"/>
        <v>0</v>
      </c>
      <c r="K30" s="23">
        <f t="shared" si="2"/>
        <v>0</v>
      </c>
      <c r="L30" s="23">
        <f t="shared" si="2"/>
        <v>0</v>
      </c>
      <c r="M30" s="66">
        <f t="shared" si="3"/>
        <v>82.742000000000004</v>
      </c>
      <c r="N30" s="23">
        <f t="shared" si="4"/>
        <v>0</v>
      </c>
      <c r="O30" s="23">
        <f t="shared" si="5"/>
        <v>82.742000000000004</v>
      </c>
      <c r="P30" s="23">
        <f t="shared" si="6"/>
        <v>0</v>
      </c>
      <c r="Q30" s="66">
        <f t="shared" si="0"/>
        <v>1.861</v>
      </c>
      <c r="R30" s="66">
        <f t="shared" si="7"/>
        <v>84.602999999999994</v>
      </c>
      <c r="S30" s="23">
        <f t="shared" si="7"/>
        <v>0</v>
      </c>
      <c r="T30" s="23">
        <f t="shared" si="7"/>
        <v>84.602999999999994</v>
      </c>
      <c r="U30" s="23">
        <f t="shared" si="7"/>
        <v>0</v>
      </c>
      <c r="V30" s="33">
        <f t="shared" si="8"/>
        <v>0</v>
      </c>
    </row>
    <row r="31" spans="1:22" s="3" customFormat="1" ht="15.75">
      <c r="A31" s="22">
        <v>18</v>
      </c>
      <c r="B31" s="21" t="s">
        <v>363</v>
      </c>
      <c r="C31" s="92">
        <f t="shared" si="1"/>
        <v>25.832000000000001</v>
      </c>
      <c r="D31" s="23">
        <f>'[3]Річна потреба ТЕ на опалення'!Q61+'[3]Річна потреба ТЕ на опалення'!Q62</f>
        <v>0</v>
      </c>
      <c r="E31" s="23">
        <f>'[3]Річна потреба ТЕ на опалення'!R58+'[3]Річна потреба ТЕ на опалення'!R59</f>
        <v>25.832000000000001</v>
      </c>
      <c r="F31" s="23">
        <f>'[3]Річна потреба ТЕ на опалення'!S61+'[3]Річна потреба ТЕ на опалення'!S62</f>
        <v>0</v>
      </c>
      <c r="G31" s="23"/>
      <c r="H31" s="207"/>
      <c r="I31" s="66">
        <f t="shared" si="2"/>
        <v>0</v>
      </c>
      <c r="J31" s="23">
        <f t="shared" si="2"/>
        <v>0</v>
      </c>
      <c r="K31" s="23">
        <f t="shared" si="2"/>
        <v>0</v>
      </c>
      <c r="L31" s="23">
        <f t="shared" si="2"/>
        <v>0</v>
      </c>
      <c r="M31" s="66">
        <f t="shared" si="3"/>
        <v>25.832000000000001</v>
      </c>
      <c r="N31" s="23">
        <f t="shared" si="4"/>
        <v>0</v>
      </c>
      <c r="O31" s="23">
        <f t="shared" si="5"/>
        <v>25.832000000000001</v>
      </c>
      <c r="P31" s="23">
        <f t="shared" si="6"/>
        <v>0</v>
      </c>
      <c r="Q31" s="66">
        <f t="shared" si="0"/>
        <v>0.58099999999999996</v>
      </c>
      <c r="R31" s="66">
        <f t="shared" si="7"/>
        <v>26.413</v>
      </c>
      <c r="S31" s="23">
        <f t="shared" si="7"/>
        <v>0</v>
      </c>
      <c r="T31" s="23">
        <f t="shared" si="7"/>
        <v>26.413</v>
      </c>
      <c r="U31" s="23">
        <f t="shared" si="7"/>
        <v>0</v>
      </c>
      <c r="V31" s="33">
        <f t="shared" si="8"/>
        <v>0</v>
      </c>
    </row>
    <row r="32" spans="1:22" s="3" customFormat="1" ht="15.75">
      <c r="A32" s="22">
        <v>19</v>
      </c>
      <c r="B32" s="21" t="s">
        <v>228</v>
      </c>
      <c r="C32" s="92">
        <f t="shared" si="1"/>
        <v>209.39699999999999</v>
      </c>
      <c r="D32" s="23">
        <f>'[3]Річна потреба ТЕ на опалення'!Q63+'[3]Річна потреба ТЕ на опалення'!Q64+'[3]Річна потреба ТЕ на опалення'!Q65</f>
        <v>0</v>
      </c>
      <c r="E32" s="23">
        <f>'[3]Річна потреба ТЕ на опалення'!R60+'[3]Річна потреба ТЕ на опалення'!R61+'[3]Річна потреба ТЕ на опалення'!R62</f>
        <v>209.39699999999999</v>
      </c>
      <c r="F32" s="23">
        <f>'[3]Річна потреба ТЕ на опалення'!S63+'[3]Річна потреба ТЕ на опалення'!S64+'[3]Річна потреба ТЕ на опалення'!S65</f>
        <v>0</v>
      </c>
      <c r="G32" s="23"/>
      <c r="H32" s="207"/>
      <c r="I32" s="66">
        <f t="shared" si="2"/>
        <v>0</v>
      </c>
      <c r="J32" s="23">
        <f t="shared" si="2"/>
        <v>0</v>
      </c>
      <c r="K32" s="23">
        <f t="shared" si="2"/>
        <v>0</v>
      </c>
      <c r="L32" s="23">
        <f t="shared" si="2"/>
        <v>0</v>
      </c>
      <c r="M32" s="66">
        <f t="shared" si="3"/>
        <v>209.39699999999999</v>
      </c>
      <c r="N32" s="23">
        <f t="shared" si="4"/>
        <v>0</v>
      </c>
      <c r="O32" s="23">
        <f t="shared" si="5"/>
        <v>209.39699999999999</v>
      </c>
      <c r="P32" s="23">
        <f t="shared" si="6"/>
        <v>0</v>
      </c>
      <c r="Q32" s="66">
        <f t="shared" si="0"/>
        <v>4.71</v>
      </c>
      <c r="R32" s="66">
        <f t="shared" si="7"/>
        <v>214.107</v>
      </c>
      <c r="S32" s="23">
        <f t="shared" si="7"/>
        <v>0</v>
      </c>
      <c r="T32" s="23">
        <f t="shared" si="7"/>
        <v>214.107</v>
      </c>
      <c r="U32" s="23">
        <f t="shared" si="7"/>
        <v>0</v>
      </c>
      <c r="V32" s="33">
        <f t="shared" si="8"/>
        <v>0</v>
      </c>
    </row>
    <row r="33" spans="1:22" s="3" customFormat="1" ht="15.75">
      <c r="A33" s="25">
        <v>20</v>
      </c>
      <c r="B33" s="21" t="s">
        <v>229</v>
      </c>
      <c r="C33" s="92">
        <f>D33+E33+F33</f>
        <v>83.63</v>
      </c>
      <c r="D33" s="23">
        <f>'[3]Річна потреба ТЕ на опалення'!Q63</f>
        <v>0</v>
      </c>
      <c r="E33" s="23">
        <f>'[3]Річна потреба ТЕ на опалення'!R63+'[3]Річна потреба ТЕ на опалення'!R64</f>
        <v>83.63</v>
      </c>
      <c r="F33" s="23">
        <f>'[3]Річна потреба ТЕ на опалення'!S60</f>
        <v>0</v>
      </c>
      <c r="G33" s="23">
        <v>21</v>
      </c>
      <c r="H33" s="207">
        <v>2.0999999999999999E-3</v>
      </c>
      <c r="I33" s="66">
        <f t="shared" si="2"/>
        <v>0.17599999999999999</v>
      </c>
      <c r="J33" s="23">
        <f t="shared" si="2"/>
        <v>0</v>
      </c>
      <c r="K33" s="23">
        <f t="shared" si="2"/>
        <v>0.17599999999999999</v>
      </c>
      <c r="L33" s="23">
        <f t="shared" si="2"/>
        <v>0</v>
      </c>
      <c r="M33" s="66">
        <f t="shared" si="3"/>
        <v>83.805999999999997</v>
      </c>
      <c r="N33" s="23">
        <f t="shared" si="4"/>
        <v>0</v>
      </c>
      <c r="O33" s="23">
        <f t="shared" si="5"/>
        <v>83.805999999999997</v>
      </c>
      <c r="P33" s="23">
        <f t="shared" si="6"/>
        <v>0</v>
      </c>
      <c r="Q33" s="66">
        <f t="shared" si="0"/>
        <v>1.885</v>
      </c>
      <c r="R33" s="66">
        <f t="shared" si="7"/>
        <v>85.691000000000003</v>
      </c>
      <c r="S33" s="23">
        <f t="shared" si="7"/>
        <v>0</v>
      </c>
      <c r="T33" s="23">
        <f t="shared" si="7"/>
        <v>85.691000000000003</v>
      </c>
      <c r="U33" s="23">
        <f t="shared" si="7"/>
        <v>0</v>
      </c>
      <c r="V33" s="33">
        <f t="shared" si="8"/>
        <v>0</v>
      </c>
    </row>
    <row r="34" spans="1:22" s="3" customFormat="1" ht="16.5" thickBot="1">
      <c r="A34" s="26">
        <v>21</v>
      </c>
      <c r="B34" s="27" t="s">
        <v>230</v>
      </c>
      <c r="C34" s="92">
        <f>D34+E34+F34</f>
        <v>18.283999999999999</v>
      </c>
      <c r="D34" s="23">
        <f>'[3]Річна потреба ТЕ на опалення'!Q65</f>
        <v>0</v>
      </c>
      <c r="E34" s="23">
        <f>'[3]Річна потреба ТЕ на опалення'!R65</f>
        <v>18.283999999999999</v>
      </c>
      <c r="F34" s="23">
        <f>'[3]Річна потреба ТЕ на опалення'!S65</f>
        <v>0</v>
      </c>
      <c r="G34" s="30">
        <v>38.5</v>
      </c>
      <c r="H34" s="31">
        <v>3.8999999999999998E-3</v>
      </c>
      <c r="I34" s="99">
        <f t="shared" si="2"/>
        <v>7.1999999999999995E-2</v>
      </c>
      <c r="J34" s="30">
        <f t="shared" si="2"/>
        <v>0</v>
      </c>
      <c r="K34" s="30">
        <f t="shared" si="2"/>
        <v>7.1999999999999995E-2</v>
      </c>
      <c r="L34" s="30">
        <f t="shared" si="2"/>
        <v>0</v>
      </c>
      <c r="M34" s="99">
        <f t="shared" si="3"/>
        <v>18.356000000000002</v>
      </c>
      <c r="N34" s="30">
        <f t="shared" si="4"/>
        <v>0</v>
      </c>
      <c r="O34" s="30">
        <f t="shared" si="5"/>
        <v>18.356000000000002</v>
      </c>
      <c r="P34" s="30">
        <f t="shared" si="6"/>
        <v>0</v>
      </c>
      <c r="Q34" s="66">
        <f t="shared" si="0"/>
        <v>0.41299999999999998</v>
      </c>
      <c r="R34" s="66">
        <f t="shared" si="7"/>
        <v>18.768999999999998</v>
      </c>
      <c r="S34" s="23">
        <f t="shared" si="7"/>
        <v>0</v>
      </c>
      <c r="T34" s="23">
        <f t="shared" si="7"/>
        <v>18.768999999999998</v>
      </c>
      <c r="U34" s="23">
        <f t="shared" si="7"/>
        <v>0</v>
      </c>
      <c r="V34" s="33">
        <f t="shared" si="8"/>
        <v>0</v>
      </c>
    </row>
    <row r="35" spans="1:22" s="3" customFormat="1" ht="27.75" customHeight="1" thickBot="1">
      <c r="A35" s="4"/>
      <c r="B35" s="4" t="s">
        <v>161</v>
      </c>
      <c r="C35" s="7">
        <f>SUM(C14:C34)</f>
        <v>2234.14</v>
      </c>
      <c r="D35" s="7">
        <f>SUM(D14:D34)</f>
        <v>94.852000000000004</v>
      </c>
      <c r="E35" s="7">
        <f>SUM(E14:E34)</f>
        <v>1991.9259999999999</v>
      </c>
      <c r="F35" s="7">
        <f>SUM(F14:F34)</f>
        <v>147.36199999999999</v>
      </c>
      <c r="G35" s="7">
        <f>SUM(G14:G34)</f>
        <v>3369.5</v>
      </c>
      <c r="H35" s="9">
        <f>I35/M35</f>
        <v>3.7100000000000001E-2</v>
      </c>
      <c r="I35" s="7">
        <f t="shared" ref="I35:Q35" si="9">SUM(I14:I34)</f>
        <v>85.984999999999999</v>
      </c>
      <c r="J35" s="7">
        <f t="shared" si="9"/>
        <v>7.5519999999999996</v>
      </c>
      <c r="K35" s="7">
        <f t="shared" si="9"/>
        <v>67.805000000000007</v>
      </c>
      <c r="L35" s="7">
        <f t="shared" si="9"/>
        <v>10.627000000000001</v>
      </c>
      <c r="M35" s="7">
        <f t="shared" si="9"/>
        <v>2320.125</v>
      </c>
      <c r="N35" s="7">
        <f t="shared" si="9"/>
        <v>102.404</v>
      </c>
      <c r="O35" s="7">
        <f t="shared" si="9"/>
        <v>2059.7310000000002</v>
      </c>
      <c r="P35" s="7">
        <f t="shared" si="9"/>
        <v>157.989</v>
      </c>
      <c r="Q35" s="7">
        <f t="shared" si="9"/>
        <v>52.19</v>
      </c>
      <c r="R35" s="7">
        <f>SUM(R14:R34)</f>
        <v>2372.3150000000001</v>
      </c>
      <c r="S35" s="7">
        <f>SUM(S14:S34)</f>
        <v>104.708</v>
      </c>
      <c r="T35" s="7">
        <f>SUM(T14:T34)</f>
        <v>2106.0639999999999</v>
      </c>
      <c r="U35" s="7">
        <f>SUM(U14:U34)</f>
        <v>161.542</v>
      </c>
      <c r="V35" s="33">
        <f t="shared" si="8"/>
        <v>0</v>
      </c>
    </row>
    <row r="36" spans="1:22" s="3" customFormat="1" ht="15.75">
      <c r="C36" s="1"/>
      <c r="I36" s="1"/>
      <c r="J36" s="1"/>
      <c r="K36" s="1"/>
      <c r="L36" s="1"/>
      <c r="M36" s="1"/>
      <c r="Q36" s="1"/>
      <c r="R36" s="1"/>
    </row>
    <row r="37" spans="1:22" s="3" customFormat="1" ht="15.75">
      <c r="C37" s="1"/>
      <c r="D37" s="57"/>
      <c r="E37" s="57"/>
      <c r="F37" s="57"/>
      <c r="I37" s="1"/>
      <c r="J37" s="1"/>
      <c r="K37" s="1"/>
      <c r="L37" s="1"/>
      <c r="M37" s="1"/>
      <c r="Q37" s="1"/>
      <c r="R37" s="1"/>
    </row>
    <row r="38" spans="1:22" s="3" customFormat="1" ht="15.75">
      <c r="C38" s="1"/>
      <c r="I38" s="1"/>
      <c r="J38" s="1"/>
      <c r="K38" s="1"/>
      <c r="L38" s="1"/>
      <c r="M38" s="1"/>
      <c r="Q38" s="383"/>
      <c r="R38" s="210"/>
      <c r="S38" s="34">
        <f>S35+T35+U35</f>
        <v>2372.3139999999999</v>
      </c>
    </row>
    <row r="39" spans="1:22" s="3" customFormat="1" ht="15.75">
      <c r="C39" s="1"/>
      <c r="H39" s="56"/>
      <c r="I39" s="1"/>
      <c r="J39" s="1"/>
      <c r="K39" s="1"/>
      <c r="L39" s="1"/>
      <c r="M39" s="1"/>
      <c r="Q39" s="210">
        <f>R35-R22-R23</f>
        <v>2358.779</v>
      </c>
      <c r="R39" s="1"/>
    </row>
    <row r="40" spans="1:22" s="3" customFormat="1" ht="15.75">
      <c r="C40" s="1"/>
      <c r="H40" s="56"/>
      <c r="I40" s="1"/>
      <c r="J40" s="1"/>
      <c r="K40" s="1"/>
      <c r="L40" s="1"/>
      <c r="M40" s="1"/>
      <c r="Q40" s="1"/>
      <c r="R40" s="210">
        <f>R35-R22-R23-U17</f>
        <v>2344.306</v>
      </c>
    </row>
    <row r="41" spans="1:22" ht="15.75">
      <c r="B41" s="12" t="s">
        <v>95</v>
      </c>
      <c r="R41" s="210"/>
    </row>
    <row r="45" spans="1:22" ht="15">
      <c r="H45" s="384">
        <f>J35/N35</f>
        <v>7.3700000000000002E-2</v>
      </c>
    </row>
    <row r="46" spans="1:22" ht="15">
      <c r="H46" s="384">
        <f>K35/O35</f>
        <v>3.2899999999999999E-2</v>
      </c>
    </row>
    <row r="47" spans="1:22" ht="15">
      <c r="H47" s="384">
        <f>L35/P35</f>
        <v>6.7299999999999999E-2</v>
      </c>
    </row>
  </sheetData>
  <mergeCells count="24">
    <mergeCell ref="J7:J12"/>
    <mergeCell ref="K7:K12"/>
    <mergeCell ref="T7:T12"/>
    <mergeCell ref="U7:U12"/>
    <mergeCell ref="P7:P12"/>
    <mergeCell ref="Q7:Q12"/>
    <mergeCell ref="R7:R12"/>
    <mergeCell ref="S7:S12"/>
    <mergeCell ref="C2:P2"/>
    <mergeCell ref="C3:P3"/>
    <mergeCell ref="G5:M5"/>
    <mergeCell ref="A7:A12"/>
    <mergeCell ref="B7:B12"/>
    <mergeCell ref="C7:C12"/>
    <mergeCell ref="D7:D12"/>
    <mergeCell ref="E7:E12"/>
    <mergeCell ref="F7:F12"/>
    <mergeCell ref="G7:G12"/>
    <mergeCell ref="L7:L12"/>
    <mergeCell ref="M7:M12"/>
    <mergeCell ref="N7:N12"/>
    <mergeCell ref="O7:O12"/>
    <mergeCell ref="H7:H12"/>
    <mergeCell ref="I7:I12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45" orientation="landscape" verticalDpi="0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13</vt:i4>
      </vt:variant>
    </vt:vector>
  </HeadingPairs>
  <TitlesOfParts>
    <vt:vector size="32" baseType="lpstr">
      <vt:lpstr>Вхідні дані</vt:lpstr>
      <vt:lpstr>цена газ нас</vt:lpstr>
      <vt:lpstr>цена газ б</vt:lpstr>
      <vt:lpstr>розподіл газу</vt:lpstr>
      <vt:lpstr>цена елен</vt:lpstr>
      <vt:lpstr>характеристика котельних</vt:lpstr>
      <vt:lpstr>навантаження</vt:lpstr>
      <vt:lpstr>річна потреба те на опалення</vt:lpstr>
      <vt:lpstr>січ2021</vt:lpstr>
      <vt:lpstr>лют2021</vt:lpstr>
      <vt:lpstr>берез2021</vt:lpstr>
      <vt:lpstr>квіт2021</vt:lpstr>
      <vt:lpstr>жовт2020</vt:lpstr>
      <vt:lpstr>листопад2020</vt:lpstr>
      <vt:lpstr>груд2020</vt:lpstr>
      <vt:lpstr>РІК</vt:lpstr>
      <vt:lpstr>інд норми зміни</vt:lpstr>
      <vt:lpstr>додаток2</vt:lpstr>
      <vt:lpstr>Лист2</vt:lpstr>
      <vt:lpstr>'Вхідні дані'!Заголовки_для_печати</vt:lpstr>
      <vt:lpstr>берез2021!Область_печати</vt:lpstr>
      <vt:lpstr>'Вхідні дані'!Область_печати</vt:lpstr>
      <vt:lpstr>груд2020!Область_печати</vt:lpstr>
      <vt:lpstr>додаток2!Область_печати</vt:lpstr>
      <vt:lpstr>жовт2020!Область_печати</vt:lpstr>
      <vt:lpstr>'інд норми зміни'!Область_печати</vt:lpstr>
      <vt:lpstr>квіт2021!Область_печати</vt:lpstr>
      <vt:lpstr>листопад2020!Область_печати</vt:lpstr>
      <vt:lpstr>лют2021!Область_печати</vt:lpstr>
      <vt:lpstr>РІК!Область_печати</vt:lpstr>
      <vt:lpstr>'річна потреба те на опалення'!Область_печати</vt:lpstr>
      <vt:lpstr>січ2021!Область_печати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ВТВ 1</dc:creator>
  <cp:lastModifiedBy>Користувач Windows</cp:lastModifiedBy>
  <cp:lastPrinted>2020-08-18T18:06:57Z</cp:lastPrinted>
  <dcterms:created xsi:type="dcterms:W3CDTF">2014-05-30T06:02:55Z</dcterms:created>
  <dcterms:modified xsi:type="dcterms:W3CDTF">2020-08-25T11:47:31Z</dcterms:modified>
</cp:coreProperties>
</file>