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705" windowWidth="28215" windowHeight="119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50" i="1"/>
  <c r="G17"/>
  <c r="G20"/>
  <c r="G23"/>
  <c r="G27"/>
  <c r="G30"/>
  <c r="G34"/>
  <c r="G37"/>
  <c r="I15"/>
  <c r="J71"/>
  <c r="I71"/>
  <c r="I74"/>
  <c r="J74"/>
  <c r="G64"/>
  <c r="J65"/>
  <c r="I65"/>
  <c r="J55"/>
  <c r="I55"/>
  <c r="G55" s="1"/>
  <c r="J51"/>
  <c r="I51"/>
  <c r="G51" s="1"/>
  <c r="J47"/>
  <c r="I47"/>
  <c r="G47" s="1"/>
  <c r="J46"/>
  <c r="H46"/>
  <c r="G46" s="1"/>
  <c r="I46"/>
  <c r="J22"/>
  <c r="I22"/>
  <c r="J38"/>
  <c r="I38"/>
  <c r="J25"/>
  <c r="I25"/>
  <c r="J26"/>
  <c r="I26"/>
  <c r="G26" s="1"/>
  <c r="J33"/>
  <c r="I33"/>
  <c r="G33" s="1"/>
  <c r="J15"/>
  <c r="J12"/>
  <c r="I12"/>
  <c r="H53"/>
  <c r="G53" s="1"/>
  <c r="H36"/>
  <c r="G36" s="1"/>
  <c r="H25"/>
  <c r="G25" s="1"/>
  <c r="H22"/>
  <c r="G22" s="1"/>
  <c r="H18"/>
  <c r="G18" s="1"/>
  <c r="H14"/>
  <c r="G14" s="1"/>
  <c r="H13"/>
  <c r="G13" s="1"/>
  <c r="J31"/>
  <c r="I31"/>
  <c r="G31" s="1"/>
  <c r="H75"/>
  <c r="I75"/>
  <c r="J75"/>
  <c r="G76"/>
  <c r="G75" s="1"/>
  <c r="H48" l="1"/>
  <c r="G48" s="1"/>
  <c r="H45"/>
  <c r="G45" s="1"/>
  <c r="H43"/>
  <c r="J54"/>
  <c r="I54"/>
  <c r="I32"/>
  <c r="G32" s="1"/>
  <c r="J32"/>
  <c r="H24"/>
  <c r="G24" s="1"/>
  <c r="H15"/>
  <c r="G15" s="1"/>
  <c r="H21"/>
  <c r="H68"/>
  <c r="H60"/>
  <c r="I60"/>
  <c r="I57"/>
  <c r="J57"/>
  <c r="J44"/>
  <c r="I44"/>
  <c r="J68"/>
  <c r="I68"/>
  <c r="G44" l="1"/>
  <c r="G21"/>
  <c r="H19"/>
  <c r="G19" s="1"/>
  <c r="H40"/>
  <c r="H29"/>
  <c r="G29" s="1"/>
  <c r="J52"/>
  <c r="I52"/>
  <c r="G52" s="1"/>
  <c r="J49"/>
  <c r="I49"/>
  <c r="G49" s="1"/>
  <c r="H54"/>
  <c r="H16"/>
  <c r="G16" s="1"/>
  <c r="H59"/>
  <c r="H57" s="1"/>
  <c r="H11" l="1"/>
  <c r="H42"/>
  <c r="G54"/>
  <c r="G72"/>
  <c r="G61"/>
  <c r="I56" l="1"/>
  <c r="I28"/>
  <c r="G40"/>
  <c r="G56" l="1"/>
  <c r="I42"/>
  <c r="G28"/>
  <c r="J35"/>
  <c r="J11" s="1"/>
  <c r="I35"/>
  <c r="G35" s="1"/>
  <c r="I11" l="1"/>
  <c r="J42"/>
  <c r="H77"/>
  <c r="J60"/>
  <c r="J77" l="1"/>
  <c r="I77"/>
  <c r="G38"/>
  <c r="G39"/>
  <c r="G41"/>
  <c r="G43"/>
  <c r="G58"/>
  <c r="G59"/>
  <c r="G62"/>
  <c r="G63"/>
  <c r="G65"/>
  <c r="G66"/>
  <c r="G67"/>
  <c r="G69"/>
  <c r="G70"/>
  <c r="G71"/>
  <c r="G73"/>
  <c r="G74"/>
  <c r="G12"/>
  <c r="G11" l="1"/>
  <c r="G68"/>
  <c r="G60"/>
  <c r="G57"/>
  <c r="G42"/>
  <c r="G77" l="1"/>
</calcChain>
</file>

<file path=xl/sharedStrings.xml><?xml version="1.0" encoding="utf-8"?>
<sst xmlns="http://schemas.openxmlformats.org/spreadsheetml/2006/main" count="347" uniqueCount="191">
  <si>
    <t>РОЗПОДІЛ </t>
  </si>
  <si>
    <t>(грн)</t>
  </si>
  <si>
    <t>Дата та номер документа, яким затверджено місцеву регіональну програму</t>
  </si>
  <si>
    <t>Усього</t>
  </si>
  <si>
    <t>Загальний фонд</t>
  </si>
  <si>
    <t>Спеціальний фонд</t>
  </si>
  <si>
    <t>усього</t>
  </si>
  <si>
    <t>×</t>
  </si>
  <si>
    <t>УСЬОГО</t>
  </si>
  <si>
    <t>Код Програмної класифікації видатків та кредитування місцевих бюджетів</t>
  </si>
  <si>
    <t>Код Типової програмної класифікації видатків та кредитування місцевих бюджетів</t>
  </si>
  <si>
    <t>Код Функціональної класифікації видатків та кредитування бюджету</t>
  </si>
  <si>
    <t>Найменування головного розпорядника коштів місцевого бюджету/відповідального виконавця, найменування бюджетної програми/ підпрограми згідно з Типовою програмною класифікацією видатків та кредитування місцевих бюджетів</t>
  </si>
  <si>
    <t>Найменування місцевої/регіональної програми</t>
  </si>
  <si>
    <t>у тому числі бюджет розвитку</t>
  </si>
  <si>
    <t>0210160</t>
  </si>
  <si>
    <t>0160</t>
  </si>
  <si>
    <t>0111</t>
  </si>
  <si>
    <t>Керівництво і управління у відповідній сфері у містах (місті Києві), селищах, селах, об`єднаних територіальних громадах</t>
  </si>
  <si>
    <t>0210180</t>
  </si>
  <si>
    <t>0180</t>
  </si>
  <si>
    <t>0133</t>
  </si>
  <si>
    <t>Інша діяльність у сфері державного управління</t>
  </si>
  <si>
    <t>0212111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</si>
  <si>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</si>
  <si>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</si>
  <si>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</si>
  <si>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</si>
  <si>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</si>
  <si>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Міська комплексна програма соціальної підтримки сімей з дітьми та забезпечення прав дітей "Назустріч дітям" на 2018-2022 роки</t>
  </si>
  <si>
    <t>0213121</t>
  </si>
  <si>
    <t>Утримання та забезпечення діяльності центрів соціальних служб для сім"ї, дітей та молоді</t>
  </si>
  <si>
    <t>0213192</t>
  </si>
  <si>
    <t>1030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</si>
  <si>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</si>
  <si>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0213242</t>
  </si>
  <si>
    <t>1090</t>
  </si>
  <si>
    <t>Інші заходи у сфері соціального захисту і соціального забезпечення</t>
  </si>
  <si>
    <t>Міська комплексна програма "Турбота" на 2016-2020 роки</t>
  </si>
  <si>
    <t>0216011</t>
  </si>
  <si>
    <t>0620</t>
  </si>
  <si>
    <t>Експлуатація та технічне обслуговування житлового фонду</t>
  </si>
  <si>
    <t>0216013</t>
  </si>
  <si>
    <t>Забезпечення діяльності водопровідно-каналізаційного господарства</t>
  </si>
  <si>
    <t>0216020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</si>
  <si>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</si>
  <si>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0216030</t>
  </si>
  <si>
    <t>Організація благоустрою населених пунктів</t>
  </si>
  <si>
    <t>Програма партиципаторне бюджетування (бюджет участі) у м. Фастові на 2017-2020 роки</t>
  </si>
  <si>
    <t>Програма розвитку туризму міста Фастова на 2016 - 2020 роки</t>
  </si>
  <si>
    <t>0217130</t>
  </si>
  <si>
    <t>0421</t>
  </si>
  <si>
    <t>Здійснення заходів із землеустрою</t>
  </si>
  <si>
    <t>0443</t>
  </si>
  <si>
    <t>0217322</t>
  </si>
  <si>
    <t>Будівництво медичних установ та закладів</t>
  </si>
  <si>
    <t>0217461</t>
  </si>
  <si>
    <t>0456</t>
  </si>
  <si>
    <t xml:space="preserve">Утримання та розвиток інших об"єктів транспортної інфраструктури </t>
  </si>
  <si>
    <t>Програма проведення будівництва, ремонту та утримання дорожнього покриття вулиць та тротуарів у м.Фастів Київської області на 2015-2020 роки</t>
  </si>
  <si>
    <t>0490</t>
  </si>
  <si>
    <t>0217670</t>
  </si>
  <si>
    <t>Внески до статутного капіталу суб"єктів господарювання</t>
  </si>
  <si>
    <t>0217680</t>
  </si>
  <si>
    <t>Членські внески до Асоціації ОМС</t>
  </si>
  <si>
    <t>0218340</t>
  </si>
  <si>
    <t>0540</t>
  </si>
  <si>
    <t>Природоохоронні заходи за рахунок цільових фондів</t>
  </si>
  <si>
    <t xml:space="preserve"> Програма охорони навколишнього природного середовища міста Фастова на 2016–2020 роки</t>
  </si>
  <si>
    <t>Управління освіти виконавчого комітету Фастівської міської ради</t>
  </si>
  <si>
    <t>0611010</t>
  </si>
  <si>
    <t>1010</t>
  </si>
  <si>
    <t>0910</t>
  </si>
  <si>
    <t>Надання дошкільної освіти</t>
  </si>
  <si>
    <t>Програма розвитку системи освіти міста Фастова на 2017-2019 роки</t>
  </si>
  <si>
    <t>0611020</t>
  </si>
  <si>
    <t>1020</t>
  </si>
  <si>
    <t>0921</t>
  </si>
  <si>
    <t>Надання загальної середньої освіти загальноосвітніми навчальними закладами (в т. ч. школою-дитячим садком, інтернатом при школі), спеціалізованими школами, ліцеями, гімназіями, колегіумами</t>
  </si>
  <si>
    <t>0611070</t>
  </si>
  <si>
    <t>1070</t>
  </si>
  <si>
    <t>0922</t>
  </si>
  <si>
    <t>Надання загальної середньої освіти спеціальними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</si>
  <si>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0611090</t>
  </si>
  <si>
    <t>0960</t>
  </si>
  <si>
    <t>Надання позашкільної освіти позашкільними закладами освіти, заходи із позашкільної освіти</t>
  </si>
  <si>
    <t>0810</t>
  </si>
  <si>
    <t>Утримання та навчально-тренувальна робота комунальних дитячо-юнацьких спортивних шкіл</t>
  </si>
  <si>
    <t>0618340</t>
  </si>
  <si>
    <t>Управління соціального захисту населення виконавчого комітету Фастівської міської ради</t>
  </si>
  <si>
    <t>0813160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</si>
  <si>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</si>
  <si>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0813242</t>
  </si>
  <si>
    <t>Управління культури, молоді та туризму виконавчого комітету Фастівської міської ради</t>
  </si>
  <si>
    <t>1013133</t>
  </si>
  <si>
    <t>Інші заходи та заклади молодіжної політики</t>
  </si>
  <si>
    <t>Програма підтримки та розвитку молоді "Молодь Фастова" на 2016-2020  роки"</t>
  </si>
  <si>
    <t>1014060</t>
  </si>
  <si>
    <t>0828</t>
  </si>
  <si>
    <t>Забезпечення діяльності палаців i будинків культури, клубів, центрів дозвілля та iнших клубних закладів</t>
  </si>
  <si>
    <t>Комплексна програма розвитку культури міста Фастова на 2017-2020 роки</t>
  </si>
  <si>
    <t>1014082</t>
  </si>
  <si>
    <t>0829</t>
  </si>
  <si>
    <t>Інші заходи в галузі культури і мистецтва</t>
  </si>
  <si>
    <t>1017622</t>
  </si>
  <si>
    <t>0470</t>
  </si>
  <si>
    <t>Реалізація програм і заходів в галузі туризму та курортів</t>
  </si>
  <si>
    <t>Відділ з питань фізичної культури та спорту виконавчого комітету Фастівської міської ради</t>
  </si>
  <si>
    <t>1115011</t>
  </si>
  <si>
    <t>Проведення навчально-тренувальних зборів і змагань з олімпійських видів спорту</t>
  </si>
  <si>
    <t>Програма розвитку фізичної культури і спорту на 2016-2020 роки</t>
  </si>
  <si>
    <t>1115012</t>
  </si>
  <si>
    <t>Проведення навчально-тренувальних зборів і змагань з неолімпійських видів спорту</t>
  </si>
  <si>
    <t>1115031</t>
  </si>
  <si>
    <t>1115041</t>
  </si>
  <si>
    <t>Утримання та фінансова підтримка спортивних споруд</t>
  </si>
  <si>
    <t>Програма соціально-економічного і культурного розвитку  міста на 2019 рік</t>
  </si>
  <si>
    <t>Виконавчий комітет Фастівської міської ради</t>
  </si>
  <si>
    <t>Міська програма "Дитяче харчування на 2019-2020 роки"</t>
  </si>
  <si>
    <t>витрат місцевого бюджету на реалізацію місцевих/регіональних програм у 2019 році</t>
  </si>
  <si>
    <t>Секратар міської ради</t>
  </si>
  <si>
    <t>С.А.Ясінський</t>
  </si>
  <si>
    <t>Про затвердження програми «Нагородження відзнаками міського рівня, організація і проведення урочистих та інших заходів у м. Фастів
 на 2018-2021 роки»</t>
  </si>
  <si>
    <t>№ 16-ХХХVІІ -VІІ
від 8.02.2018 року</t>
  </si>
  <si>
    <t>№8-ХХХV-VІІ від 23.12.2017 року</t>
  </si>
  <si>
    <t xml:space="preserve">Програма підтримки громадських організацій на 2019 рік </t>
  </si>
  <si>
    <t>№ 8-VІ-VІІ
від 24. 12. 2015 року</t>
  </si>
  <si>
    <t>№ 17-VІІІ-VІІ
від 29. 01. 2016 року</t>
  </si>
  <si>
    <t>№ 6-ХХІІ-VІІ
від 22.12.2016 року</t>
  </si>
  <si>
    <t>№ 20-ХХХV -VІІ
від 23.12.2017 року</t>
  </si>
  <si>
    <t xml:space="preserve"> № 9-ХХІІ-VII від 22.12.2016 року</t>
  </si>
  <si>
    <t>№ 12-ХХІІ-VІІ
від 22.12.2016 року</t>
  </si>
  <si>
    <t>№8-LХVIІ-VI
від 11. 06. 2015 року</t>
  </si>
  <si>
    <t>№ 10-ХХІІ-VІІ
від 22.12.2016 року</t>
  </si>
  <si>
    <t>Програми  «Про забезпечення умов для заняття спортом та облаштування дитячих майданчиків у місті Фастові на 2016-2020 роки»</t>
  </si>
  <si>
    <t>№ 3-ХVІІІ -VІІ
від 06.10.2016 року</t>
  </si>
  <si>
    <t>№ 2-LХV-VІ   від 19.03.2015 р.</t>
  </si>
  <si>
    <t>Додаток № 7</t>
  </si>
  <si>
    <t>до рішення міської  ради</t>
  </si>
  <si>
    <t>0200000</t>
  </si>
  <si>
    <t>0600000</t>
  </si>
  <si>
    <t>0800000</t>
  </si>
  <si>
    <t>1100000</t>
  </si>
  <si>
    <t>1000000</t>
  </si>
  <si>
    <t>Програма благоустрою міста Фастова  на 2018-2020 роки</t>
  </si>
  <si>
    <t>№ 37-ХХХV -VІІ
від 23.12.2017 року</t>
  </si>
  <si>
    <t>№2- ХLVІ -VІІ
від 11.12.2018 року</t>
  </si>
  <si>
    <t>№  3 -ХLVІ -VІІ
від 11.12.2018 року</t>
  </si>
  <si>
    <t>Програма фінансової підтримки комунальних
підприємств Фастівської міської ради та здійснення внесків до їх статутних капіталів на 2019-2023 роки</t>
  </si>
  <si>
    <t>№   4 -ХLVІ -VІІ
від 11.12.2018 року</t>
  </si>
  <si>
    <t>№ 2- ХLVІ -VІІ
від 11.12.2018 року</t>
  </si>
  <si>
    <t>№6- ХLVІ -VІІ
від 11.12.2018 року</t>
  </si>
  <si>
    <t>№ 5- ХLVІ -VІІ
від 11.12.2018 року</t>
  </si>
  <si>
    <t>Програма фінансової  підтримки та розвитку комунального некомерційного підприємства Фастівської міської ради «Фастівський міський Центр первинної медичної (медико-санітарної) допомоги» на 2019-2020 роки</t>
  </si>
  <si>
    <t>№ 7- ХLVІ -VІІ
від 11.12.2018 року</t>
  </si>
  <si>
    <t xml:space="preserve"> Програма соціальної підтримки сімей загиблих учасників антитерористичної операції, операції об’єднаних сил, учасників бойових дій та вшанування пам 'яті загиблихна 2019-2020 роки
 </t>
  </si>
  <si>
    <t>0217370</t>
  </si>
  <si>
    <t>Реалізація інших заходів щодо соціально-економічного розвитку регіонів</t>
  </si>
  <si>
    <t>0615031</t>
  </si>
  <si>
    <t>0611162</t>
  </si>
  <si>
    <t>0990</t>
  </si>
  <si>
    <t>Інші програми та заходи у сфері освіти</t>
  </si>
  <si>
    <t>0217330</t>
  </si>
  <si>
    <t>7330</t>
  </si>
  <si>
    <t>Будівництво інших об`єктів соціальної та виробничої інфраструктури комунальної власності</t>
  </si>
  <si>
    <t>Програма запобігання виникнення надзвичайних ситуацій на території міста Фастова на 2019-2022 роки</t>
  </si>
  <si>
    <t>№4- LІ -VІІ
від 04.04.2019 року</t>
  </si>
  <si>
    <t>0216082</t>
  </si>
  <si>
    <t>0217310</t>
  </si>
  <si>
    <t>0217681</t>
  </si>
  <si>
    <t>0610</t>
  </si>
  <si>
    <t>Придбання житла для окремих категорій населення відповідно до законодавства</t>
  </si>
  <si>
    <t>Будівництво обєктів житлово-комунального господарства</t>
  </si>
  <si>
    <t>0320</t>
  </si>
  <si>
    <t>Заходи із запобігання та ліквідації надзвичайних ситуацій та наслідків стихійного лиха</t>
  </si>
  <si>
    <t>1011100</t>
  </si>
  <si>
    <t>0611150</t>
  </si>
  <si>
    <t>1150</t>
  </si>
  <si>
    <t>Методичне забезпечення діяльності навчальних закладів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</si>
  <si>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</si>
  <si>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0617321</t>
  </si>
  <si>
    <t>Будівництво освітніх установ та закладів</t>
  </si>
  <si>
    <t xml:space="preserve"> Програма соціальної підтримки сімей загиблих учасників антитерористичної операції, операції об’єднаних сил, учасників бойових дій та вшанування пам'яті загиблих на 2019-2020 роки
 </t>
  </si>
  <si>
    <t>Програма урбаністичного розвитку міста Фастова на 2019-2020 роки</t>
  </si>
  <si>
    <t>№4- LVІ -VІІ
від 13.06.2019 року</t>
  </si>
  <si>
    <t>Інші субвенції з місцевого бюджету</t>
  </si>
  <si>
    <t>Фінансове управління виконавчого комітету Фастівської міської ради</t>
  </si>
  <si>
    <t>3700000</t>
  </si>
  <si>
    <t>0217363</t>
  </si>
  <si>
    <t xml:space="preserve">Виконання інвестиційних проектів в рамках здійснення заходів щодо соціально-економічного розвитку окремих територій </t>
  </si>
  <si>
    <t>від  18.10.2019 року № 3 -LХV-VII</t>
  </si>
</sst>
</file>

<file path=xl/styles.xml><?xml version="1.0" encoding="utf-8"?>
<styleSheet xmlns="http://schemas.openxmlformats.org/spreadsheetml/2006/main">
  <numFmts count="1">
    <numFmt numFmtId="164" formatCode="_-* #,##0.00\ _₴_-;\-* #,##0.00\ _₴_-;_-* &quot;-&quot;??\ _₴_-;_-@_-"/>
  </numFmts>
  <fonts count="16">
    <font>
      <sz val="10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54">
    <xf numFmtId="0" fontId="0" fillId="0" borderId="0" xfId="0"/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49" fontId="5" fillId="0" borderId="1" xfId="0" quotePrefix="1" applyNumberFormat="1" applyFont="1" applyFill="1" applyBorder="1" applyAlignment="1">
      <alignment horizontal="center" vertical="center" wrapText="1"/>
    </xf>
    <xf numFmtId="2" fontId="6" fillId="0" borderId="1" xfId="0" quotePrefix="1" applyNumberFormat="1" applyFont="1" applyFill="1" applyBorder="1" applyAlignment="1">
      <alignment vertical="center" wrapText="1"/>
    </xf>
    <xf numFmtId="2" fontId="5" fillId="0" borderId="1" xfId="0" quotePrefix="1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3" xfId="0" quotePrefix="1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49" fontId="6" fillId="0" borderId="1" xfId="0" quotePrefix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wrapText="1"/>
    </xf>
    <xf numFmtId="2" fontId="5" fillId="0" borderId="1" xfId="0" quotePrefix="1" applyNumberFormat="1" applyFont="1" applyFill="1" applyBorder="1" applyAlignment="1">
      <alignment horizontal="center" vertical="center" wrapText="1"/>
    </xf>
    <xf numFmtId="0" fontId="5" fillId="0" borderId="3" xfId="0" quotePrefix="1" applyFont="1" applyFill="1" applyBorder="1" applyAlignment="1">
      <alignment horizontal="center" vertical="center" wrapText="1"/>
    </xf>
    <xf numFmtId="0" fontId="11" fillId="0" borderId="0" xfId="0" applyFont="1" applyFill="1"/>
    <xf numFmtId="0" fontId="1" fillId="0" borderId="0" xfId="0" applyFont="1" applyFill="1" applyAlignment="1">
      <alignment horizontal="right" wrapText="1"/>
    </xf>
    <xf numFmtId="0" fontId="3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quotePrefix="1" applyFont="1" applyFill="1" applyBorder="1" applyAlignment="1">
      <alignment horizontal="left" vertical="center" wrapText="1"/>
    </xf>
    <xf numFmtId="49" fontId="5" fillId="0" borderId="3" xfId="0" quotePrefix="1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wrapText="1"/>
    </xf>
    <xf numFmtId="49" fontId="1" fillId="0" borderId="1" xfId="0" applyNumberFormat="1" applyFont="1" applyFill="1" applyBorder="1" applyAlignment="1">
      <alignment wrapText="1"/>
    </xf>
    <xf numFmtId="2" fontId="6" fillId="0" borderId="1" xfId="0" quotePrefix="1" applyNumberFormat="1" applyFont="1" applyFill="1" applyBorder="1" applyAlignment="1">
      <alignment horizontal="center" vertical="center" wrapText="1"/>
    </xf>
    <xf numFmtId="0" fontId="13" fillId="0" borderId="1" xfId="0" quotePrefix="1" applyFont="1" applyFill="1" applyBorder="1" applyAlignment="1">
      <alignment horizontal="center" vertical="center" wrapText="1"/>
    </xf>
    <xf numFmtId="2" fontId="13" fillId="0" borderId="1" xfId="0" quotePrefix="1" applyNumberFormat="1" applyFont="1" applyFill="1" applyBorder="1" applyAlignment="1">
      <alignment horizontal="center" vertical="center" wrapText="1"/>
    </xf>
    <xf numFmtId="2" fontId="13" fillId="0" borderId="1" xfId="0" quotePrefix="1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2" fontId="13" fillId="0" borderId="1" xfId="0" quotePrefix="1" applyNumberFormat="1" applyFont="1" applyFill="1" applyBorder="1" applyAlignment="1">
      <alignment vertical="justify" wrapText="1"/>
    </xf>
    <xf numFmtId="0" fontId="14" fillId="0" borderId="1" xfId="0" applyFont="1" applyFill="1" applyBorder="1" applyAlignment="1">
      <alignment wrapText="1"/>
    </xf>
    <xf numFmtId="4" fontId="15" fillId="0" borderId="1" xfId="1" applyNumberFormat="1" applyFont="1" applyFill="1" applyBorder="1" applyAlignment="1">
      <alignment horizontal="center" wrapText="1"/>
    </xf>
    <xf numFmtId="4" fontId="15" fillId="0" borderId="1" xfId="0" applyNumberFormat="1" applyFont="1" applyFill="1" applyBorder="1" applyAlignment="1">
      <alignment horizontal="center" wrapText="1"/>
    </xf>
    <xf numFmtId="4" fontId="15" fillId="0" borderId="1" xfId="0" applyNumberFormat="1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center" wrapText="1"/>
    </xf>
    <xf numFmtId="4" fontId="11" fillId="0" borderId="0" xfId="0" applyNumberFormat="1" applyFont="1" applyFill="1"/>
    <xf numFmtId="4" fontId="8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4" fontId="2" fillId="2" borderId="1" xfId="1" applyNumberFormat="1" applyFont="1" applyFill="1" applyBorder="1" applyAlignment="1">
      <alignment horizontal="center" wrapText="1"/>
    </xf>
    <xf numFmtId="0" fontId="9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2"/>
  <sheetViews>
    <sheetView tabSelected="1" topLeftCell="E1" workbookViewId="0">
      <selection activeCell="A77" sqref="A77:J77"/>
    </sheetView>
  </sheetViews>
  <sheetFormatPr defaultRowHeight="12.75"/>
  <cols>
    <col min="1" max="1" width="12.7109375" style="16" customWidth="1"/>
    <col min="2" max="2" width="10.85546875" style="16" customWidth="1"/>
    <col min="3" max="3" width="12.42578125" style="16" customWidth="1"/>
    <col min="4" max="4" width="48.7109375" style="16" customWidth="1"/>
    <col min="5" max="5" width="77.28515625" style="16" customWidth="1"/>
    <col min="6" max="6" width="21.28515625" style="16" customWidth="1"/>
    <col min="7" max="7" width="19.28515625" style="16" customWidth="1"/>
    <col min="8" max="8" width="18.42578125" style="16" customWidth="1"/>
    <col min="9" max="10" width="18.85546875" style="16" customWidth="1"/>
    <col min="11" max="16384" width="9.140625" style="16"/>
  </cols>
  <sheetData>
    <row r="1" spans="1:10">
      <c r="I1" s="16" t="s">
        <v>137</v>
      </c>
    </row>
    <row r="2" spans="1:10">
      <c r="I2" s="16" t="s">
        <v>138</v>
      </c>
    </row>
    <row r="3" spans="1:10">
      <c r="I3" s="16" t="s">
        <v>190</v>
      </c>
    </row>
    <row r="5" spans="1:10" ht="25.5" customHeight="1">
      <c r="A5" s="53" t="s">
        <v>0</v>
      </c>
      <c r="B5" s="53"/>
      <c r="C5" s="53"/>
      <c r="D5" s="53"/>
      <c r="E5" s="53"/>
      <c r="F5" s="53"/>
      <c r="G5" s="53"/>
      <c r="H5" s="53"/>
      <c r="I5" s="53"/>
      <c r="J5" s="53"/>
    </row>
    <row r="6" spans="1:10" ht="35.25" customHeight="1">
      <c r="A6" s="53" t="s">
        <v>119</v>
      </c>
      <c r="B6" s="53"/>
      <c r="C6" s="53"/>
      <c r="D6" s="53"/>
      <c r="E6" s="53"/>
      <c r="F6" s="53"/>
      <c r="G6" s="53"/>
      <c r="H6" s="53"/>
      <c r="I6" s="53"/>
      <c r="J6" s="53"/>
    </row>
    <row r="7" spans="1:10" ht="15.75">
      <c r="J7" s="17" t="s">
        <v>1</v>
      </c>
    </row>
    <row r="8" spans="1:10" ht="21" customHeight="1">
      <c r="A8" s="52" t="s">
        <v>9</v>
      </c>
      <c r="B8" s="52" t="s">
        <v>10</v>
      </c>
      <c r="C8" s="52" t="s">
        <v>11</v>
      </c>
      <c r="D8" s="52" t="s">
        <v>12</v>
      </c>
      <c r="E8" s="52" t="s">
        <v>13</v>
      </c>
      <c r="F8" s="52" t="s">
        <v>2</v>
      </c>
      <c r="G8" s="52" t="s">
        <v>3</v>
      </c>
      <c r="H8" s="52" t="s">
        <v>4</v>
      </c>
      <c r="I8" s="52" t="s">
        <v>5</v>
      </c>
      <c r="J8" s="52"/>
    </row>
    <row r="9" spans="1:10" ht="79.5" customHeight="1">
      <c r="A9" s="52"/>
      <c r="B9" s="52"/>
      <c r="C9" s="52"/>
      <c r="D9" s="52"/>
      <c r="E9" s="52"/>
      <c r="F9" s="52"/>
      <c r="G9" s="52"/>
      <c r="H9" s="52"/>
      <c r="I9" s="39" t="s">
        <v>6</v>
      </c>
      <c r="J9" s="39" t="s">
        <v>14</v>
      </c>
    </row>
    <row r="10" spans="1:10">
      <c r="A10" s="18">
        <v>1</v>
      </c>
      <c r="B10" s="18">
        <v>2</v>
      </c>
      <c r="C10" s="18">
        <v>3</v>
      </c>
      <c r="D10" s="18">
        <v>4</v>
      </c>
      <c r="E10" s="18">
        <v>5</v>
      </c>
      <c r="F10" s="18">
        <v>6</v>
      </c>
      <c r="G10" s="18">
        <v>7</v>
      </c>
      <c r="H10" s="18">
        <v>8</v>
      </c>
      <c r="I10" s="18">
        <v>9</v>
      </c>
      <c r="J10" s="18">
        <v>10</v>
      </c>
    </row>
    <row r="11" spans="1:10" ht="34.5" customHeight="1">
      <c r="A11" s="40" t="s">
        <v>139</v>
      </c>
      <c r="B11" s="41"/>
      <c r="C11" s="42"/>
      <c r="D11" s="43" t="s">
        <v>117</v>
      </c>
      <c r="E11" s="44"/>
      <c r="F11" s="44"/>
      <c r="G11" s="45">
        <f>SUM(G12:G41)</f>
        <v>93640953.879999995</v>
      </c>
      <c r="H11" s="45">
        <f>SUM(H12:H41)</f>
        <v>46521705</v>
      </c>
      <c r="I11" s="45">
        <f>SUM(I12:I41)</f>
        <v>47119248.880000003</v>
      </c>
      <c r="J11" s="45">
        <f t="shared" ref="J11" si="0">SUM(J12:J41)</f>
        <v>47094771</v>
      </c>
    </row>
    <row r="12" spans="1:10" ht="54.75" customHeight="1">
      <c r="A12" s="1" t="s">
        <v>15</v>
      </c>
      <c r="B12" s="20" t="s">
        <v>16</v>
      </c>
      <c r="C12" s="20" t="s">
        <v>17</v>
      </c>
      <c r="D12" s="4" t="s">
        <v>18</v>
      </c>
      <c r="E12" s="6" t="s">
        <v>116</v>
      </c>
      <c r="F12" s="32" t="s">
        <v>150</v>
      </c>
      <c r="G12" s="33">
        <f>H12+I12</f>
        <v>1598000</v>
      </c>
      <c r="H12" s="34"/>
      <c r="I12" s="34">
        <f>400000+18000+180000+1400000-199000-201000</f>
        <v>1598000</v>
      </c>
      <c r="J12" s="34">
        <f>400000+18000+180000+1400000-199000-201000</f>
        <v>1598000</v>
      </c>
    </row>
    <row r="13" spans="1:10" ht="30.75" customHeight="1">
      <c r="A13" s="1" t="s">
        <v>19</v>
      </c>
      <c r="B13" s="20" t="s">
        <v>20</v>
      </c>
      <c r="C13" s="20" t="s">
        <v>21</v>
      </c>
      <c r="D13" s="21" t="s">
        <v>22</v>
      </c>
      <c r="E13" s="6" t="s">
        <v>116</v>
      </c>
      <c r="F13" s="32" t="s">
        <v>150</v>
      </c>
      <c r="G13" s="33">
        <f t="shared" ref="G13:G37" si="1">H13+I13</f>
        <v>380000</v>
      </c>
      <c r="H13" s="34">
        <f>420000-140000+100000</f>
        <v>380000</v>
      </c>
      <c r="I13" s="34"/>
      <c r="J13" s="34"/>
    </row>
    <row r="14" spans="1:10" ht="56.25" customHeight="1">
      <c r="A14" s="1" t="s">
        <v>19</v>
      </c>
      <c r="B14" s="20" t="s">
        <v>20</v>
      </c>
      <c r="C14" s="20" t="s">
        <v>21</v>
      </c>
      <c r="D14" s="21" t="s">
        <v>22</v>
      </c>
      <c r="E14" s="6" t="s">
        <v>122</v>
      </c>
      <c r="F14" s="32" t="s">
        <v>123</v>
      </c>
      <c r="G14" s="33">
        <f t="shared" si="1"/>
        <v>242000</v>
      </c>
      <c r="H14" s="34">
        <f>105000+35000+102000</f>
        <v>242000</v>
      </c>
      <c r="I14" s="34"/>
      <c r="J14" s="34"/>
    </row>
    <row r="15" spans="1:10" ht="66" customHeight="1">
      <c r="A15" s="22" t="s">
        <v>23</v>
      </c>
      <c r="B15" s="15">
        <v>2111</v>
      </c>
      <c r="C15" s="23" t="s">
        <v>24</v>
      </c>
      <c r="D15" s="5" t="s">
        <v>25</v>
      </c>
      <c r="E15" s="24" t="s">
        <v>153</v>
      </c>
      <c r="F15" s="32" t="s">
        <v>154</v>
      </c>
      <c r="G15" s="33">
        <f t="shared" si="1"/>
        <v>17483649</v>
      </c>
      <c r="H15" s="34">
        <f>11905700+5255294-2558665-261500-1300000</f>
        <v>13040829</v>
      </c>
      <c r="I15" s="34">
        <f>1053955+347820+1000000-1053955+95000+3000000</f>
        <v>4442820</v>
      </c>
      <c r="J15" s="34">
        <f>1053955+347820+1000000-1053955+95000+3000000</f>
        <v>4442820</v>
      </c>
    </row>
    <row r="16" spans="1:10" ht="83.25" customHeight="1">
      <c r="A16" s="1" t="s">
        <v>26</v>
      </c>
      <c r="B16" s="2">
        <v>3140</v>
      </c>
      <c r="C16" s="3" t="s">
        <v>27</v>
      </c>
      <c r="D16" s="5" t="s">
        <v>28</v>
      </c>
      <c r="E16" s="6" t="s">
        <v>29</v>
      </c>
      <c r="F16" s="32" t="s">
        <v>124</v>
      </c>
      <c r="G16" s="33">
        <f t="shared" si="1"/>
        <v>2130000</v>
      </c>
      <c r="H16" s="34">
        <f>2030000+100000</f>
        <v>2130000</v>
      </c>
      <c r="I16" s="34"/>
      <c r="J16" s="34"/>
    </row>
    <row r="17" spans="1:10" ht="42.75" customHeight="1">
      <c r="A17" s="1" t="s">
        <v>30</v>
      </c>
      <c r="B17" s="2">
        <v>3121</v>
      </c>
      <c r="C17" s="3" t="s">
        <v>27</v>
      </c>
      <c r="D17" s="8" t="s">
        <v>31</v>
      </c>
      <c r="E17" s="6" t="s">
        <v>29</v>
      </c>
      <c r="F17" s="32" t="s">
        <v>124</v>
      </c>
      <c r="G17" s="33">
        <f t="shared" si="1"/>
        <v>78000</v>
      </c>
      <c r="H17" s="34">
        <v>78000</v>
      </c>
      <c r="I17" s="34"/>
      <c r="J17" s="34"/>
    </row>
    <row r="18" spans="1:10" ht="50.25" customHeight="1">
      <c r="A18" s="1" t="s">
        <v>32</v>
      </c>
      <c r="B18" s="2">
        <v>3192</v>
      </c>
      <c r="C18" s="1" t="s">
        <v>33</v>
      </c>
      <c r="D18" s="5" t="s">
        <v>34</v>
      </c>
      <c r="E18" s="6" t="s">
        <v>125</v>
      </c>
      <c r="F18" s="32" t="s">
        <v>151</v>
      </c>
      <c r="G18" s="33">
        <f t="shared" si="1"/>
        <v>698000</v>
      </c>
      <c r="H18" s="34">
        <f>300000+199000+199000</f>
        <v>698000</v>
      </c>
      <c r="I18" s="34"/>
      <c r="J18" s="34"/>
    </row>
    <row r="19" spans="1:10" ht="36.75" customHeight="1">
      <c r="A19" s="1" t="s">
        <v>35</v>
      </c>
      <c r="B19" s="2">
        <v>3242</v>
      </c>
      <c r="C19" s="3" t="s">
        <v>36</v>
      </c>
      <c r="D19" s="4" t="s">
        <v>37</v>
      </c>
      <c r="E19" s="6" t="s">
        <v>38</v>
      </c>
      <c r="F19" s="32" t="s">
        <v>126</v>
      </c>
      <c r="G19" s="33">
        <f t="shared" si="1"/>
        <v>1606876</v>
      </c>
      <c r="H19" s="34">
        <f>3513876-H20-H21-18000-1400000-100000</f>
        <v>1606876</v>
      </c>
      <c r="I19" s="34"/>
      <c r="J19" s="34"/>
    </row>
    <row r="20" spans="1:10" ht="36.75" customHeight="1">
      <c r="A20" s="1" t="s">
        <v>35</v>
      </c>
      <c r="B20" s="2">
        <v>3242</v>
      </c>
      <c r="C20" s="3" t="s">
        <v>36</v>
      </c>
      <c r="D20" s="4" t="s">
        <v>37</v>
      </c>
      <c r="E20" s="6" t="s">
        <v>29</v>
      </c>
      <c r="F20" s="32" t="s">
        <v>124</v>
      </c>
      <c r="G20" s="33">
        <f t="shared" si="1"/>
        <v>100000</v>
      </c>
      <c r="H20" s="34">
        <v>100000</v>
      </c>
      <c r="I20" s="34"/>
      <c r="J20" s="34"/>
    </row>
    <row r="21" spans="1:10" ht="50.25" customHeight="1">
      <c r="A21" s="1" t="s">
        <v>35</v>
      </c>
      <c r="B21" s="2">
        <v>3242</v>
      </c>
      <c r="C21" s="3" t="s">
        <v>36</v>
      </c>
      <c r="D21" s="4" t="s">
        <v>37</v>
      </c>
      <c r="E21" s="6" t="s">
        <v>182</v>
      </c>
      <c r="F21" s="32" t="s">
        <v>149</v>
      </c>
      <c r="G21" s="33">
        <f t="shared" si="1"/>
        <v>289000</v>
      </c>
      <c r="H21" s="34">
        <f>155000+65000-30000-1000+100000</f>
        <v>289000</v>
      </c>
      <c r="I21" s="34"/>
      <c r="J21" s="34"/>
    </row>
    <row r="22" spans="1:10" ht="31.5" customHeight="1">
      <c r="A22" s="1" t="s">
        <v>39</v>
      </c>
      <c r="B22" s="2">
        <v>6011</v>
      </c>
      <c r="C22" s="1" t="s">
        <v>40</v>
      </c>
      <c r="D22" s="5" t="s">
        <v>41</v>
      </c>
      <c r="E22" s="6" t="s">
        <v>116</v>
      </c>
      <c r="F22" s="32" t="s">
        <v>150</v>
      </c>
      <c r="G22" s="33">
        <f t="shared" si="1"/>
        <v>5209665</v>
      </c>
      <c r="H22" s="34">
        <f>3150000-2185000+150000-170000</f>
        <v>945000</v>
      </c>
      <c r="I22" s="34">
        <f>2543665+872000+500000+50000+299000</f>
        <v>4264665</v>
      </c>
      <c r="J22" s="34">
        <f>2543665+872000+500000+50000+299000</f>
        <v>4264665</v>
      </c>
    </row>
    <row r="23" spans="1:10" ht="31.5" customHeight="1">
      <c r="A23" s="1" t="s">
        <v>42</v>
      </c>
      <c r="B23" s="2">
        <v>6013</v>
      </c>
      <c r="C23" s="1" t="s">
        <v>40</v>
      </c>
      <c r="D23" s="7" t="s">
        <v>43</v>
      </c>
      <c r="E23" s="6" t="s">
        <v>116</v>
      </c>
      <c r="F23" s="32" t="s">
        <v>150</v>
      </c>
      <c r="G23" s="33">
        <f t="shared" si="1"/>
        <v>649000</v>
      </c>
      <c r="H23" s="34">
        <v>649000</v>
      </c>
      <c r="I23" s="34"/>
      <c r="J23" s="34"/>
    </row>
    <row r="24" spans="1:10" ht="51.75" customHeight="1">
      <c r="A24" s="1" t="s">
        <v>44</v>
      </c>
      <c r="B24" s="2">
        <v>6020</v>
      </c>
      <c r="C24" s="1" t="s">
        <v>40</v>
      </c>
      <c r="D24" s="4" t="s">
        <v>45</v>
      </c>
      <c r="E24" s="6" t="s">
        <v>116</v>
      </c>
      <c r="F24" s="32" t="s">
        <v>150</v>
      </c>
      <c r="G24" s="33">
        <f t="shared" si="1"/>
        <v>350000</v>
      </c>
      <c r="H24" s="34">
        <f>350000-150000</f>
        <v>200000</v>
      </c>
      <c r="I24" s="34">
        <v>150000</v>
      </c>
      <c r="J24" s="34">
        <v>150000</v>
      </c>
    </row>
    <row r="25" spans="1:10" ht="33" customHeight="1">
      <c r="A25" s="1" t="s">
        <v>46</v>
      </c>
      <c r="B25" s="2">
        <v>6030</v>
      </c>
      <c r="C25" s="1" t="s">
        <v>40</v>
      </c>
      <c r="D25" s="4" t="s">
        <v>47</v>
      </c>
      <c r="E25" s="6" t="s">
        <v>144</v>
      </c>
      <c r="F25" s="32" t="s">
        <v>145</v>
      </c>
      <c r="G25" s="33">
        <f t="shared" si="1"/>
        <v>24335577.379999999</v>
      </c>
      <c r="H25" s="35">
        <f>23749000+60000+338000+25000-15000</f>
        <v>24157000</v>
      </c>
      <c r="I25" s="35">
        <f>300000+325000-295000-75000-76422.62</f>
        <v>178577.38</v>
      </c>
      <c r="J25" s="35">
        <f>300000+325000-295000-75000-76422.62</f>
        <v>178577.38</v>
      </c>
    </row>
    <row r="26" spans="1:10" ht="30" customHeight="1">
      <c r="A26" s="1" t="s">
        <v>46</v>
      </c>
      <c r="B26" s="2">
        <v>6030</v>
      </c>
      <c r="C26" s="1" t="s">
        <v>40</v>
      </c>
      <c r="D26" s="4" t="s">
        <v>47</v>
      </c>
      <c r="E26" s="6" t="s">
        <v>116</v>
      </c>
      <c r="F26" s="32" t="s">
        <v>146</v>
      </c>
      <c r="G26" s="33">
        <f t="shared" si="1"/>
        <v>1361000</v>
      </c>
      <c r="H26" s="35">
        <v>66000</v>
      </c>
      <c r="I26" s="35">
        <f>495000+900000-100000</f>
        <v>1295000</v>
      </c>
      <c r="J26" s="35">
        <f>495000+900000-100000</f>
        <v>1295000</v>
      </c>
    </row>
    <row r="27" spans="1:10" ht="30" customHeight="1">
      <c r="A27" s="1" t="s">
        <v>46</v>
      </c>
      <c r="B27" s="2">
        <v>6030</v>
      </c>
      <c r="C27" s="1" t="s">
        <v>40</v>
      </c>
      <c r="D27" s="4" t="s">
        <v>47</v>
      </c>
      <c r="E27" s="6" t="s">
        <v>183</v>
      </c>
      <c r="F27" s="32" t="s">
        <v>184</v>
      </c>
      <c r="G27" s="33">
        <f t="shared" si="1"/>
        <v>50000</v>
      </c>
      <c r="H27" s="35">
        <v>50000</v>
      </c>
      <c r="I27" s="35"/>
      <c r="J27" s="35"/>
    </row>
    <row r="28" spans="1:10" ht="39" customHeight="1">
      <c r="A28" s="1" t="s">
        <v>167</v>
      </c>
      <c r="B28" s="2">
        <v>6082</v>
      </c>
      <c r="C28" s="1" t="s">
        <v>170</v>
      </c>
      <c r="D28" s="7" t="s">
        <v>171</v>
      </c>
      <c r="E28" s="6" t="s">
        <v>165</v>
      </c>
      <c r="F28" s="32" t="s">
        <v>166</v>
      </c>
      <c r="G28" s="33">
        <f t="shared" si="1"/>
        <v>4492992</v>
      </c>
      <c r="H28" s="35"/>
      <c r="I28" s="35">
        <f>3700000+792992</f>
        <v>4492992</v>
      </c>
      <c r="J28" s="35">
        <v>4492992</v>
      </c>
    </row>
    <row r="29" spans="1:10" ht="30" customHeight="1">
      <c r="A29" s="1" t="s">
        <v>50</v>
      </c>
      <c r="B29" s="2">
        <v>7130</v>
      </c>
      <c r="C29" s="1" t="s">
        <v>51</v>
      </c>
      <c r="D29" s="4" t="s">
        <v>52</v>
      </c>
      <c r="E29" s="6" t="s">
        <v>116</v>
      </c>
      <c r="F29" s="32" t="s">
        <v>146</v>
      </c>
      <c r="G29" s="33">
        <f t="shared" si="1"/>
        <v>153477.88</v>
      </c>
      <c r="H29" s="35">
        <f>199000-50000</f>
        <v>149000</v>
      </c>
      <c r="I29" s="35">
        <v>4477.88</v>
      </c>
      <c r="J29" s="35"/>
    </row>
    <row r="30" spans="1:10" ht="39.75" customHeight="1">
      <c r="A30" s="1" t="s">
        <v>168</v>
      </c>
      <c r="B30" s="2">
        <v>7310</v>
      </c>
      <c r="C30" s="1" t="s">
        <v>53</v>
      </c>
      <c r="D30" s="7" t="s">
        <v>172</v>
      </c>
      <c r="E30" s="6" t="s">
        <v>165</v>
      </c>
      <c r="F30" s="32" t="s">
        <v>166</v>
      </c>
      <c r="G30" s="33">
        <f t="shared" si="1"/>
        <v>207008</v>
      </c>
      <c r="H30" s="35"/>
      <c r="I30" s="35">
        <v>207008</v>
      </c>
      <c r="J30" s="35">
        <v>207008</v>
      </c>
    </row>
    <row r="31" spans="1:10" ht="39.75" customHeight="1">
      <c r="A31" s="1" t="s">
        <v>168</v>
      </c>
      <c r="B31" s="2">
        <v>7310</v>
      </c>
      <c r="C31" s="1" t="s">
        <v>53</v>
      </c>
      <c r="D31" s="7" t="s">
        <v>172</v>
      </c>
      <c r="E31" s="6" t="s">
        <v>116</v>
      </c>
      <c r="F31" s="32" t="s">
        <v>146</v>
      </c>
      <c r="G31" s="33">
        <f t="shared" si="1"/>
        <v>0</v>
      </c>
      <c r="H31" s="35"/>
      <c r="I31" s="35">
        <f>61500-61500</f>
        <v>0</v>
      </c>
      <c r="J31" s="35">
        <f>61500-61500</f>
        <v>0</v>
      </c>
    </row>
    <row r="32" spans="1:10" ht="51.75" customHeight="1">
      <c r="A32" s="1" t="s">
        <v>54</v>
      </c>
      <c r="B32" s="2">
        <v>7322</v>
      </c>
      <c r="C32" s="1" t="s">
        <v>53</v>
      </c>
      <c r="D32" s="5" t="s">
        <v>55</v>
      </c>
      <c r="E32" s="25" t="s">
        <v>153</v>
      </c>
      <c r="F32" s="32" t="s">
        <v>154</v>
      </c>
      <c r="G32" s="33">
        <f t="shared" si="1"/>
        <v>2857560</v>
      </c>
      <c r="H32" s="35"/>
      <c r="I32" s="35">
        <f>538605+60000+2353955-95000</f>
        <v>2857560</v>
      </c>
      <c r="J32" s="35">
        <f>538605+60000+2353955-95000</f>
        <v>2857560</v>
      </c>
    </row>
    <row r="33" spans="1:10" ht="49.5" customHeight="1">
      <c r="A33" s="2" t="s">
        <v>162</v>
      </c>
      <c r="B33" s="2" t="s">
        <v>163</v>
      </c>
      <c r="C33" s="14" t="s">
        <v>53</v>
      </c>
      <c r="D33" s="5" t="s">
        <v>164</v>
      </c>
      <c r="E33" s="6" t="s">
        <v>116</v>
      </c>
      <c r="F33" s="32" t="s">
        <v>150</v>
      </c>
      <c r="G33" s="33">
        <f t="shared" si="1"/>
        <v>12200826</v>
      </c>
      <c r="H33" s="35"/>
      <c r="I33" s="35">
        <f>1054600+11151226-5000</f>
        <v>12200826</v>
      </c>
      <c r="J33" s="35">
        <f>1054600+11151226-5000</f>
        <v>12200826</v>
      </c>
    </row>
    <row r="34" spans="1:10" ht="49.5" customHeight="1">
      <c r="A34" s="2" t="s">
        <v>188</v>
      </c>
      <c r="B34" s="2">
        <v>7363</v>
      </c>
      <c r="C34" s="1" t="s">
        <v>60</v>
      </c>
      <c r="D34" s="8" t="s">
        <v>189</v>
      </c>
      <c r="E34" s="6" t="s">
        <v>116</v>
      </c>
      <c r="F34" s="32" t="s">
        <v>146</v>
      </c>
      <c r="G34" s="33">
        <f t="shared" si="1"/>
        <v>61500</v>
      </c>
      <c r="H34" s="35"/>
      <c r="I34" s="35">
        <v>61500</v>
      </c>
      <c r="J34" s="35">
        <v>61500</v>
      </c>
    </row>
    <row r="35" spans="1:10" ht="31.5" customHeight="1">
      <c r="A35" s="1" t="s">
        <v>156</v>
      </c>
      <c r="B35" s="2">
        <v>7370</v>
      </c>
      <c r="C35" s="1" t="s">
        <v>60</v>
      </c>
      <c r="D35" s="8" t="s">
        <v>157</v>
      </c>
      <c r="E35" s="6" t="s">
        <v>116</v>
      </c>
      <c r="F35" s="32" t="s">
        <v>150</v>
      </c>
      <c r="G35" s="33">
        <f t="shared" si="1"/>
        <v>1486400</v>
      </c>
      <c r="H35" s="35"/>
      <c r="I35" s="35">
        <f>490000+996400</f>
        <v>1486400</v>
      </c>
      <c r="J35" s="35">
        <f>490000+996400</f>
        <v>1486400</v>
      </c>
    </row>
    <row r="36" spans="1:10" ht="43.5" customHeight="1">
      <c r="A36" s="1" t="s">
        <v>56</v>
      </c>
      <c r="B36" s="2">
        <v>7461</v>
      </c>
      <c r="C36" s="3" t="s">
        <v>57</v>
      </c>
      <c r="D36" s="5" t="s">
        <v>58</v>
      </c>
      <c r="E36" s="6" t="s">
        <v>59</v>
      </c>
      <c r="F36" s="32" t="s">
        <v>136</v>
      </c>
      <c r="G36" s="33">
        <f t="shared" si="1"/>
        <v>11140000</v>
      </c>
      <c r="H36" s="35">
        <f>1490000+100000+50000</f>
        <v>1640000</v>
      </c>
      <c r="I36" s="35">
        <v>9500000</v>
      </c>
      <c r="J36" s="35">
        <v>9500000</v>
      </c>
    </row>
    <row r="37" spans="1:10" ht="43.5" customHeight="1">
      <c r="A37" s="1" t="s">
        <v>56</v>
      </c>
      <c r="B37" s="2">
        <v>7461</v>
      </c>
      <c r="C37" s="3" t="s">
        <v>57</v>
      </c>
      <c r="D37" s="5" t="s">
        <v>58</v>
      </c>
      <c r="E37" s="6" t="s">
        <v>144</v>
      </c>
      <c r="F37" s="32" t="s">
        <v>145</v>
      </c>
      <c r="G37" s="33">
        <f t="shared" si="1"/>
        <v>295000</v>
      </c>
      <c r="H37" s="35"/>
      <c r="I37" s="35">
        <v>295000</v>
      </c>
      <c r="J37" s="35">
        <v>295000</v>
      </c>
    </row>
    <row r="38" spans="1:10" ht="53.25" customHeight="1">
      <c r="A38" s="1" t="s">
        <v>61</v>
      </c>
      <c r="B38" s="11">
        <v>7670</v>
      </c>
      <c r="C38" s="26" t="s">
        <v>60</v>
      </c>
      <c r="D38" s="7" t="s">
        <v>62</v>
      </c>
      <c r="E38" s="6" t="s">
        <v>148</v>
      </c>
      <c r="F38" s="32" t="s">
        <v>147</v>
      </c>
      <c r="G38" s="33">
        <f t="shared" ref="G38:G73" si="2">H38+I38</f>
        <v>3865422.62</v>
      </c>
      <c r="H38" s="35"/>
      <c r="I38" s="35">
        <f>1500000+689000+1500000+176422.62</f>
        <v>3865422.62</v>
      </c>
      <c r="J38" s="35">
        <f>1500000+689000+1500000+176422.62</f>
        <v>3865422.62</v>
      </c>
    </row>
    <row r="39" spans="1:10" ht="30.75" customHeight="1">
      <c r="A39" s="1" t="s">
        <v>63</v>
      </c>
      <c r="B39" s="2">
        <v>7680</v>
      </c>
      <c r="C39" s="1" t="s">
        <v>60</v>
      </c>
      <c r="D39" s="8" t="s">
        <v>64</v>
      </c>
      <c r="E39" s="6" t="s">
        <v>116</v>
      </c>
      <c r="F39" s="32" t="s">
        <v>146</v>
      </c>
      <c r="G39" s="33">
        <f t="shared" si="2"/>
        <v>100000</v>
      </c>
      <c r="H39" s="35">
        <v>100000</v>
      </c>
      <c r="I39" s="35"/>
      <c r="J39" s="35"/>
    </row>
    <row r="40" spans="1:10" ht="39" customHeight="1">
      <c r="A40" s="1" t="s">
        <v>169</v>
      </c>
      <c r="B40" s="15">
        <v>8110</v>
      </c>
      <c r="C40" s="1" t="s">
        <v>173</v>
      </c>
      <c r="D40" s="8" t="s">
        <v>174</v>
      </c>
      <c r="E40" s="6" t="s">
        <v>165</v>
      </c>
      <c r="F40" s="32" t="s">
        <v>166</v>
      </c>
      <c r="G40" s="33">
        <f t="shared" si="2"/>
        <v>200000</v>
      </c>
      <c r="H40" s="35">
        <f>200000-199000</f>
        <v>1000</v>
      </c>
      <c r="I40" s="35">
        <v>199000</v>
      </c>
      <c r="J40" s="35">
        <v>199000</v>
      </c>
    </row>
    <row r="41" spans="1:10" ht="37.5" customHeight="1">
      <c r="A41" s="9" t="s">
        <v>65</v>
      </c>
      <c r="B41" s="10">
        <v>8340</v>
      </c>
      <c r="C41" s="1" t="s">
        <v>66</v>
      </c>
      <c r="D41" s="4" t="s">
        <v>67</v>
      </c>
      <c r="E41" s="13" t="s">
        <v>68</v>
      </c>
      <c r="F41" s="32" t="s">
        <v>127</v>
      </c>
      <c r="G41" s="33">
        <f t="shared" si="2"/>
        <v>20000</v>
      </c>
      <c r="H41" s="35"/>
      <c r="I41" s="35">
        <v>20000</v>
      </c>
      <c r="J41" s="35"/>
    </row>
    <row r="42" spans="1:10" ht="37.5" customHeight="1">
      <c r="A42" s="40" t="s">
        <v>140</v>
      </c>
      <c r="B42" s="44"/>
      <c r="C42" s="44"/>
      <c r="D42" s="44" t="s">
        <v>69</v>
      </c>
      <c r="E42" s="44"/>
      <c r="F42" s="44"/>
      <c r="G42" s="46">
        <f>SUM(G43:G56)</f>
        <v>24600657.27</v>
      </c>
      <c r="H42" s="46">
        <f t="shared" ref="H42:J42" si="3">SUM(H43:H56)</f>
        <v>6006310.8600000003</v>
      </c>
      <c r="I42" s="46">
        <f>SUM(I43:I56)</f>
        <v>18594346.41</v>
      </c>
      <c r="J42" s="46">
        <f t="shared" si="3"/>
        <v>18514346.41</v>
      </c>
    </row>
    <row r="43" spans="1:10" ht="36" customHeight="1">
      <c r="A43" s="9" t="s">
        <v>70</v>
      </c>
      <c r="B43" s="11" t="s">
        <v>71</v>
      </c>
      <c r="C43" s="12" t="s">
        <v>72</v>
      </c>
      <c r="D43" s="7" t="s">
        <v>73</v>
      </c>
      <c r="E43" s="6" t="s">
        <v>118</v>
      </c>
      <c r="F43" s="32" t="s">
        <v>152</v>
      </c>
      <c r="G43" s="33">
        <f t="shared" si="2"/>
        <v>2900000</v>
      </c>
      <c r="H43" s="35">
        <f>4200000-1300000</f>
        <v>2900000</v>
      </c>
      <c r="I43" s="35"/>
      <c r="J43" s="35"/>
    </row>
    <row r="44" spans="1:10" ht="27">
      <c r="A44" s="9" t="s">
        <v>70</v>
      </c>
      <c r="B44" s="11" t="s">
        <v>71</v>
      </c>
      <c r="C44" s="12" t="s">
        <v>72</v>
      </c>
      <c r="D44" s="7" t="s">
        <v>73</v>
      </c>
      <c r="E44" s="6" t="s">
        <v>74</v>
      </c>
      <c r="F44" s="32" t="s">
        <v>128</v>
      </c>
      <c r="G44" s="33">
        <f t="shared" si="2"/>
        <v>381877.38000000012</v>
      </c>
      <c r="H44" s="35"/>
      <c r="I44" s="35">
        <f>519433.3+56907+315066.27+206747.78+100000-759369.97-56907</f>
        <v>381877.38000000012</v>
      </c>
      <c r="J44" s="35">
        <f>519433.3+56907+315066.27+206747.78+100000-759369.97-56907</f>
        <v>381877.38000000012</v>
      </c>
    </row>
    <row r="45" spans="1:10" ht="79.5" customHeight="1">
      <c r="A45" s="9" t="s">
        <v>75</v>
      </c>
      <c r="B45" s="11" t="s">
        <v>76</v>
      </c>
      <c r="C45" s="12" t="s">
        <v>77</v>
      </c>
      <c r="D45" s="4" t="s">
        <v>78</v>
      </c>
      <c r="E45" s="6" t="s">
        <v>118</v>
      </c>
      <c r="F45" s="32" t="s">
        <v>152</v>
      </c>
      <c r="G45" s="33">
        <f t="shared" si="2"/>
        <v>1845700</v>
      </c>
      <c r="H45" s="35">
        <f>2345700-500000</f>
        <v>1845700</v>
      </c>
      <c r="I45" s="35"/>
      <c r="J45" s="35"/>
    </row>
    <row r="46" spans="1:10" ht="80.25" customHeight="1">
      <c r="A46" s="9" t="s">
        <v>75</v>
      </c>
      <c r="B46" s="11" t="s">
        <v>76</v>
      </c>
      <c r="C46" s="12" t="s">
        <v>77</v>
      </c>
      <c r="D46" s="4" t="s">
        <v>78</v>
      </c>
      <c r="E46" s="6" t="s">
        <v>48</v>
      </c>
      <c r="F46" s="32" t="s">
        <v>129</v>
      </c>
      <c r="G46" s="33">
        <f t="shared" si="2"/>
        <v>699999</v>
      </c>
      <c r="H46" s="35">
        <f>349999+611.86</f>
        <v>350610.86</v>
      </c>
      <c r="I46" s="35">
        <f>196000+100000+54000-611.86</f>
        <v>349388.14</v>
      </c>
      <c r="J46" s="35">
        <f>196000+100000+54000-611.86</f>
        <v>349388.14</v>
      </c>
    </row>
    <row r="47" spans="1:10" ht="82.5" customHeight="1">
      <c r="A47" s="9" t="s">
        <v>75</v>
      </c>
      <c r="B47" s="11" t="s">
        <v>76</v>
      </c>
      <c r="C47" s="12" t="s">
        <v>77</v>
      </c>
      <c r="D47" s="4" t="s">
        <v>78</v>
      </c>
      <c r="E47" s="6" t="s">
        <v>74</v>
      </c>
      <c r="F47" s="32" t="s">
        <v>128</v>
      </c>
      <c r="G47" s="33">
        <f t="shared" si="2"/>
        <v>9387828.6699999999</v>
      </c>
      <c r="H47" s="35"/>
      <c r="I47" s="35">
        <f>3079312.7+175937+100000+171000+50000+190000+300000+112560+2010149+180000-50000+759369.97+263500+907000+1005000+123992.82-244992.82+255000</f>
        <v>9387828.6699999999</v>
      </c>
      <c r="J47" s="35">
        <f>3079312.7+175937+100000+171000+50000+190000+300000+112560+2010149+180000-50000+759369.97+263500+907000+1005000+123992.82-244992.82+255000</f>
        <v>9387828.6699999999</v>
      </c>
    </row>
    <row r="48" spans="1:10" ht="78.75">
      <c r="A48" s="9" t="s">
        <v>79</v>
      </c>
      <c r="B48" s="11" t="s">
        <v>80</v>
      </c>
      <c r="C48" s="12" t="s">
        <v>81</v>
      </c>
      <c r="D48" s="4" t="s">
        <v>82</v>
      </c>
      <c r="E48" s="6" t="s">
        <v>118</v>
      </c>
      <c r="F48" s="32" t="s">
        <v>152</v>
      </c>
      <c r="G48" s="33">
        <f t="shared" si="2"/>
        <v>120000</v>
      </c>
      <c r="H48" s="35">
        <f>140000-20000</f>
        <v>120000</v>
      </c>
      <c r="I48" s="35"/>
      <c r="J48" s="35"/>
    </row>
    <row r="49" spans="1:10" ht="78.75">
      <c r="A49" s="9" t="s">
        <v>79</v>
      </c>
      <c r="B49" s="11" t="s">
        <v>80</v>
      </c>
      <c r="C49" s="12" t="s">
        <v>81</v>
      </c>
      <c r="D49" s="4" t="s">
        <v>82</v>
      </c>
      <c r="E49" s="6" t="s">
        <v>74</v>
      </c>
      <c r="F49" s="32" t="s">
        <v>128</v>
      </c>
      <c r="G49" s="33">
        <f t="shared" si="2"/>
        <v>290315.21999999997</v>
      </c>
      <c r="H49" s="35"/>
      <c r="I49" s="35">
        <f>445000-154684.78</f>
        <v>290315.21999999997</v>
      </c>
      <c r="J49" s="35">
        <f>445000-154684.78</f>
        <v>290315.21999999997</v>
      </c>
    </row>
    <row r="50" spans="1:10" ht="35.25" customHeight="1">
      <c r="A50" s="9" t="s">
        <v>83</v>
      </c>
      <c r="B50" s="11" t="s">
        <v>36</v>
      </c>
      <c r="C50" s="12" t="s">
        <v>84</v>
      </c>
      <c r="D50" s="7" t="s">
        <v>85</v>
      </c>
      <c r="E50" s="6" t="s">
        <v>48</v>
      </c>
      <c r="F50" s="32" t="s">
        <v>129</v>
      </c>
      <c r="G50" s="33">
        <f t="shared" si="2"/>
        <v>100000</v>
      </c>
      <c r="H50" s="35">
        <v>80000</v>
      </c>
      <c r="I50" s="35">
        <v>20000</v>
      </c>
      <c r="J50" s="35">
        <v>20000</v>
      </c>
    </row>
    <row r="51" spans="1:10" ht="35.25" customHeight="1">
      <c r="A51" s="9" t="s">
        <v>83</v>
      </c>
      <c r="B51" s="11">
        <v>1090</v>
      </c>
      <c r="C51" s="9" t="s">
        <v>36</v>
      </c>
      <c r="D51" s="7" t="s">
        <v>85</v>
      </c>
      <c r="E51" s="6" t="s">
        <v>74</v>
      </c>
      <c r="F51" s="32" t="s">
        <v>128</v>
      </c>
      <c r="G51" s="33">
        <f t="shared" si="2"/>
        <v>560485.84</v>
      </c>
      <c r="H51" s="35"/>
      <c r="I51" s="35">
        <f>200000+400000-39514.16</f>
        <v>560485.84</v>
      </c>
      <c r="J51" s="35">
        <f>270000+400000-39514.16</f>
        <v>630485.84</v>
      </c>
    </row>
    <row r="52" spans="1:10" ht="35.25" customHeight="1">
      <c r="A52" s="27" t="s">
        <v>176</v>
      </c>
      <c r="B52" s="27" t="s">
        <v>177</v>
      </c>
      <c r="C52" s="28" t="s">
        <v>160</v>
      </c>
      <c r="D52" s="29" t="s">
        <v>178</v>
      </c>
      <c r="E52" s="6" t="s">
        <v>74</v>
      </c>
      <c r="F52" s="32" t="s">
        <v>128</v>
      </c>
      <c r="G52" s="33">
        <f t="shared" si="2"/>
        <v>134937</v>
      </c>
      <c r="H52" s="35"/>
      <c r="I52" s="35">
        <f>135000-63</f>
        <v>134937</v>
      </c>
      <c r="J52" s="35">
        <f>135000-63</f>
        <v>134937</v>
      </c>
    </row>
    <row r="53" spans="1:10" ht="35.25" customHeight="1">
      <c r="A53" s="9" t="s">
        <v>159</v>
      </c>
      <c r="B53" s="11">
        <v>1162</v>
      </c>
      <c r="C53" s="9" t="s">
        <v>160</v>
      </c>
      <c r="D53" s="7" t="s">
        <v>161</v>
      </c>
      <c r="E53" s="6" t="s">
        <v>74</v>
      </c>
      <c r="F53" s="32" t="s">
        <v>128</v>
      </c>
      <c r="G53" s="33">
        <f t="shared" si="2"/>
        <v>460000</v>
      </c>
      <c r="H53" s="35">
        <f>910000-50000-400000</f>
        <v>460000</v>
      </c>
      <c r="I53" s="35"/>
      <c r="J53" s="35"/>
    </row>
    <row r="54" spans="1:10" ht="35.25" customHeight="1">
      <c r="A54" s="9" t="s">
        <v>158</v>
      </c>
      <c r="B54" s="2">
        <v>5031</v>
      </c>
      <c r="C54" s="3" t="s">
        <v>86</v>
      </c>
      <c r="D54" s="8" t="s">
        <v>87</v>
      </c>
      <c r="E54" s="6" t="s">
        <v>74</v>
      </c>
      <c r="F54" s="32" t="s">
        <v>128</v>
      </c>
      <c r="G54" s="33">
        <f t="shared" si="2"/>
        <v>400000</v>
      </c>
      <c r="H54" s="35">
        <f>250000+100000-100000</f>
        <v>250000</v>
      </c>
      <c r="I54" s="35">
        <f>100000+50000</f>
        <v>150000</v>
      </c>
      <c r="J54" s="35">
        <f>100000+50000</f>
        <v>150000</v>
      </c>
    </row>
    <row r="55" spans="1:10" ht="35.25" customHeight="1">
      <c r="A55" s="9" t="s">
        <v>180</v>
      </c>
      <c r="B55" s="15">
        <v>7321</v>
      </c>
      <c r="C55" s="1" t="s">
        <v>53</v>
      </c>
      <c r="D55" s="8" t="s">
        <v>181</v>
      </c>
      <c r="E55" s="6" t="s">
        <v>74</v>
      </c>
      <c r="F55" s="32" t="s">
        <v>128</v>
      </c>
      <c r="G55" s="33">
        <f t="shared" si="2"/>
        <v>7169514.1600000001</v>
      </c>
      <c r="H55" s="35"/>
      <c r="I55" s="35">
        <f>7000000+60000+70000+39514.16</f>
        <v>7169514.1600000001</v>
      </c>
      <c r="J55" s="35">
        <f>7000000+60000+70000+39514.16</f>
        <v>7169514.1600000001</v>
      </c>
    </row>
    <row r="56" spans="1:10" ht="36" customHeight="1">
      <c r="A56" s="9" t="s">
        <v>88</v>
      </c>
      <c r="B56" s="10">
        <v>8340</v>
      </c>
      <c r="C56" s="1" t="s">
        <v>66</v>
      </c>
      <c r="D56" s="4" t="s">
        <v>67</v>
      </c>
      <c r="E56" s="13" t="s">
        <v>68</v>
      </c>
      <c r="F56" s="32" t="s">
        <v>127</v>
      </c>
      <c r="G56" s="33">
        <f t="shared" si="2"/>
        <v>150000</v>
      </c>
      <c r="H56" s="35"/>
      <c r="I56" s="35">
        <f>80000+70000</f>
        <v>150000</v>
      </c>
      <c r="J56" s="38"/>
    </row>
    <row r="57" spans="1:10" ht="48" customHeight="1">
      <c r="A57" s="47" t="s">
        <v>141</v>
      </c>
      <c r="B57" s="44"/>
      <c r="C57" s="44"/>
      <c r="D57" s="44" t="s">
        <v>89</v>
      </c>
      <c r="E57" s="44"/>
      <c r="F57" s="44"/>
      <c r="G57" s="46">
        <f>G58+G59</f>
        <v>1037300</v>
      </c>
      <c r="H57" s="46">
        <f t="shared" ref="H57:J57" si="4">H58+H59</f>
        <v>1037300</v>
      </c>
      <c r="I57" s="46">
        <f t="shared" si="4"/>
        <v>0</v>
      </c>
      <c r="J57" s="46">
        <f t="shared" si="4"/>
        <v>0</v>
      </c>
    </row>
    <row r="58" spans="1:10" ht="99.75" customHeight="1">
      <c r="A58" s="9" t="s">
        <v>90</v>
      </c>
      <c r="B58" s="11">
        <v>3160</v>
      </c>
      <c r="C58" s="9" t="s">
        <v>71</v>
      </c>
      <c r="D58" s="4" t="s">
        <v>91</v>
      </c>
      <c r="E58" s="6" t="s">
        <v>38</v>
      </c>
      <c r="F58" s="32" t="s">
        <v>126</v>
      </c>
      <c r="G58" s="33">
        <f t="shared" si="2"/>
        <v>337300</v>
      </c>
      <c r="H58" s="35">
        <v>337300</v>
      </c>
      <c r="I58" s="35"/>
      <c r="J58" s="35"/>
    </row>
    <row r="59" spans="1:10" ht="50.25" customHeight="1">
      <c r="A59" s="9" t="s">
        <v>92</v>
      </c>
      <c r="B59" s="2">
        <v>3242</v>
      </c>
      <c r="C59" s="3" t="s">
        <v>36</v>
      </c>
      <c r="D59" s="4" t="s">
        <v>37</v>
      </c>
      <c r="E59" s="6" t="s">
        <v>155</v>
      </c>
      <c r="F59" s="32" t="s">
        <v>149</v>
      </c>
      <c r="G59" s="33">
        <f t="shared" si="2"/>
        <v>700000</v>
      </c>
      <c r="H59" s="35">
        <f>1700000-1000000</f>
        <v>700000</v>
      </c>
      <c r="I59" s="35"/>
      <c r="J59" s="35"/>
    </row>
    <row r="60" spans="1:10" ht="48.75" customHeight="1">
      <c r="A60" s="47" t="s">
        <v>143</v>
      </c>
      <c r="B60" s="44"/>
      <c r="C60" s="44"/>
      <c r="D60" s="44" t="s">
        <v>93</v>
      </c>
      <c r="E60" s="44"/>
      <c r="F60" s="44"/>
      <c r="G60" s="46">
        <f>SUM(G61:G67)</f>
        <v>9981500</v>
      </c>
      <c r="H60" s="46">
        <f t="shared" ref="H60:I60" si="5">SUM(H61:H67)</f>
        <v>1548500</v>
      </c>
      <c r="I60" s="46">
        <f t="shared" si="5"/>
        <v>8433000</v>
      </c>
      <c r="J60" s="46">
        <f t="shared" ref="J60" si="6">SUM(J62:J67)</f>
        <v>8073000</v>
      </c>
    </row>
    <row r="61" spans="1:10" ht="63">
      <c r="A61" s="9" t="s">
        <v>175</v>
      </c>
      <c r="B61" s="2">
        <v>1100</v>
      </c>
      <c r="C61" s="28" t="s">
        <v>84</v>
      </c>
      <c r="D61" s="31" t="s">
        <v>179</v>
      </c>
      <c r="E61" s="6" t="s">
        <v>100</v>
      </c>
      <c r="F61" s="32" t="s">
        <v>131</v>
      </c>
      <c r="G61" s="33">
        <f t="shared" ref="G61" si="7">H61+I61</f>
        <v>360000</v>
      </c>
      <c r="H61" s="35"/>
      <c r="I61" s="35">
        <v>360000</v>
      </c>
      <c r="J61" s="35">
        <v>360000</v>
      </c>
    </row>
    <row r="62" spans="1:10" ht="31.5">
      <c r="A62" s="9" t="s">
        <v>94</v>
      </c>
      <c r="B62" s="2">
        <v>3133</v>
      </c>
      <c r="C62" s="1" t="s">
        <v>27</v>
      </c>
      <c r="D62" s="5" t="s">
        <v>95</v>
      </c>
      <c r="E62" s="6" t="s">
        <v>96</v>
      </c>
      <c r="F62" s="32" t="s">
        <v>130</v>
      </c>
      <c r="G62" s="33">
        <f t="shared" si="2"/>
        <v>150500</v>
      </c>
      <c r="H62" s="35">
        <v>150500</v>
      </c>
      <c r="I62" s="35"/>
      <c r="J62" s="35"/>
    </row>
    <row r="63" spans="1:10" ht="31.5">
      <c r="A63" s="9" t="s">
        <v>94</v>
      </c>
      <c r="B63" s="2">
        <v>3133</v>
      </c>
      <c r="C63" s="1" t="s">
        <v>27</v>
      </c>
      <c r="D63" s="5" t="s">
        <v>95</v>
      </c>
      <c r="E63" s="6" t="s">
        <v>48</v>
      </c>
      <c r="F63" s="32" t="s">
        <v>129</v>
      </c>
      <c r="G63" s="33">
        <f t="shared" si="2"/>
        <v>100000</v>
      </c>
      <c r="H63" s="35">
        <v>17000</v>
      </c>
      <c r="I63" s="35">
        <v>83000</v>
      </c>
      <c r="J63" s="35">
        <v>83000</v>
      </c>
    </row>
    <row r="64" spans="1:10" ht="27">
      <c r="A64" s="9" t="s">
        <v>94</v>
      </c>
      <c r="B64" s="2">
        <v>3133</v>
      </c>
      <c r="C64" s="1" t="s">
        <v>27</v>
      </c>
      <c r="D64" s="5" t="s">
        <v>95</v>
      </c>
      <c r="E64" s="6" t="s">
        <v>116</v>
      </c>
      <c r="F64" s="32" t="s">
        <v>146</v>
      </c>
      <c r="G64" s="33">
        <f t="shared" si="2"/>
        <v>1411556</v>
      </c>
      <c r="H64" s="35"/>
      <c r="I64" s="35">
        <v>1411556</v>
      </c>
      <c r="J64" s="35">
        <v>1411556</v>
      </c>
    </row>
    <row r="65" spans="1:10" ht="47.25">
      <c r="A65" s="9" t="s">
        <v>97</v>
      </c>
      <c r="B65" s="11">
        <v>4060</v>
      </c>
      <c r="C65" s="12" t="s">
        <v>98</v>
      </c>
      <c r="D65" s="4" t="s">
        <v>99</v>
      </c>
      <c r="E65" s="6" t="s">
        <v>100</v>
      </c>
      <c r="F65" s="32" t="s">
        <v>131</v>
      </c>
      <c r="G65" s="33">
        <f t="shared" si="2"/>
        <v>6578444</v>
      </c>
      <c r="H65" s="35"/>
      <c r="I65" s="35">
        <f>7000000-360000+4900000-300000-4661556</f>
        <v>6578444</v>
      </c>
      <c r="J65" s="35">
        <f>7000000-360000+4900000-300000-4661556</f>
        <v>6578444</v>
      </c>
    </row>
    <row r="66" spans="1:10" ht="27">
      <c r="A66" s="1" t="s">
        <v>101</v>
      </c>
      <c r="B66" s="2">
        <v>4082</v>
      </c>
      <c r="C66" s="1" t="s">
        <v>102</v>
      </c>
      <c r="D66" s="7" t="s">
        <v>103</v>
      </c>
      <c r="E66" s="6" t="s">
        <v>100</v>
      </c>
      <c r="F66" s="32" t="s">
        <v>131</v>
      </c>
      <c r="G66" s="33">
        <f t="shared" si="2"/>
        <v>1331000</v>
      </c>
      <c r="H66" s="35">
        <v>1331000</v>
      </c>
      <c r="I66" s="35"/>
      <c r="J66" s="35"/>
    </row>
    <row r="67" spans="1:10" ht="31.5">
      <c r="A67" s="1" t="s">
        <v>104</v>
      </c>
      <c r="B67" s="2">
        <v>7622</v>
      </c>
      <c r="C67" s="1" t="s">
        <v>105</v>
      </c>
      <c r="D67" s="7" t="s">
        <v>106</v>
      </c>
      <c r="E67" s="6" t="s">
        <v>49</v>
      </c>
      <c r="F67" s="32" t="s">
        <v>132</v>
      </c>
      <c r="G67" s="33">
        <f t="shared" si="2"/>
        <v>50000</v>
      </c>
      <c r="H67" s="35">
        <v>50000</v>
      </c>
      <c r="I67" s="35"/>
      <c r="J67" s="35"/>
    </row>
    <row r="68" spans="1:10" ht="52.5" customHeight="1">
      <c r="A68" s="47" t="s">
        <v>142</v>
      </c>
      <c r="B68" s="44"/>
      <c r="C68" s="44"/>
      <c r="D68" s="44" t="s">
        <v>107</v>
      </c>
      <c r="E68" s="44"/>
      <c r="F68" s="44"/>
      <c r="G68" s="46">
        <f>SUM(G69:G74)</f>
        <v>2103200</v>
      </c>
      <c r="H68" s="46">
        <f t="shared" ref="H68:J68" si="8">SUM(H69:H74)</f>
        <v>585200</v>
      </c>
      <c r="I68" s="46">
        <f t="shared" si="8"/>
        <v>1518000</v>
      </c>
      <c r="J68" s="46">
        <f t="shared" si="8"/>
        <v>1518000</v>
      </c>
    </row>
    <row r="69" spans="1:10" ht="31.5">
      <c r="A69" s="1" t="s">
        <v>108</v>
      </c>
      <c r="B69" s="2">
        <v>5011</v>
      </c>
      <c r="C69" s="1" t="s">
        <v>86</v>
      </c>
      <c r="D69" s="5" t="s">
        <v>109</v>
      </c>
      <c r="E69" s="6" t="s">
        <v>110</v>
      </c>
      <c r="F69" s="32" t="s">
        <v>133</v>
      </c>
      <c r="G69" s="33">
        <f t="shared" si="2"/>
        <v>150000</v>
      </c>
      <c r="H69" s="35">
        <v>150000</v>
      </c>
      <c r="I69" s="35"/>
      <c r="J69" s="35"/>
    </row>
    <row r="70" spans="1:10" ht="31.5">
      <c r="A70" s="1" t="s">
        <v>111</v>
      </c>
      <c r="B70" s="2">
        <v>5012</v>
      </c>
      <c r="C70" s="3" t="s">
        <v>86</v>
      </c>
      <c r="D70" s="5" t="s">
        <v>112</v>
      </c>
      <c r="E70" s="6" t="s">
        <v>110</v>
      </c>
      <c r="F70" s="32" t="s">
        <v>133</v>
      </c>
      <c r="G70" s="33">
        <f t="shared" si="2"/>
        <v>300000</v>
      </c>
      <c r="H70" s="35">
        <v>300000</v>
      </c>
      <c r="I70" s="35"/>
      <c r="J70" s="35"/>
    </row>
    <row r="71" spans="1:10" ht="33" customHeight="1">
      <c r="A71" s="1" t="s">
        <v>113</v>
      </c>
      <c r="B71" s="2">
        <v>5031</v>
      </c>
      <c r="C71" s="3" t="s">
        <v>86</v>
      </c>
      <c r="D71" s="8" t="s">
        <v>87</v>
      </c>
      <c r="E71" s="6" t="s">
        <v>110</v>
      </c>
      <c r="F71" s="32" t="s">
        <v>133</v>
      </c>
      <c r="G71" s="33">
        <f t="shared" si="2"/>
        <v>495200</v>
      </c>
      <c r="H71" s="35">
        <v>135200</v>
      </c>
      <c r="I71" s="35">
        <f>220000+40000+100000</f>
        <v>360000</v>
      </c>
      <c r="J71" s="35">
        <f>220000+40000+100000</f>
        <v>360000</v>
      </c>
    </row>
    <row r="72" spans="1:10" ht="31.5">
      <c r="A72" s="1" t="s">
        <v>114</v>
      </c>
      <c r="B72" s="2">
        <v>5041</v>
      </c>
      <c r="C72" s="3" t="s">
        <v>86</v>
      </c>
      <c r="D72" s="5" t="s">
        <v>115</v>
      </c>
      <c r="E72" s="6" t="s">
        <v>110</v>
      </c>
      <c r="F72" s="32" t="s">
        <v>133</v>
      </c>
      <c r="G72" s="33">
        <f t="shared" ref="G72" si="9">H72+I72</f>
        <v>19000</v>
      </c>
      <c r="H72" s="35"/>
      <c r="I72" s="35">
        <v>19000</v>
      </c>
      <c r="J72" s="35">
        <v>19000</v>
      </c>
    </row>
    <row r="73" spans="1:10" ht="31.5">
      <c r="A73" s="1" t="s">
        <v>114</v>
      </c>
      <c r="B73" s="2">
        <v>5041</v>
      </c>
      <c r="C73" s="3" t="s">
        <v>86</v>
      </c>
      <c r="D73" s="5" t="s">
        <v>115</v>
      </c>
      <c r="E73" s="6" t="s">
        <v>48</v>
      </c>
      <c r="F73" s="32" t="s">
        <v>129</v>
      </c>
      <c r="G73" s="33">
        <f t="shared" si="2"/>
        <v>100000</v>
      </c>
      <c r="H73" s="35"/>
      <c r="I73" s="35">
        <v>100000</v>
      </c>
      <c r="J73" s="35">
        <v>100000</v>
      </c>
    </row>
    <row r="74" spans="1:10" ht="40.5" customHeight="1">
      <c r="A74" s="1" t="s">
        <v>114</v>
      </c>
      <c r="B74" s="2">
        <v>5041</v>
      </c>
      <c r="C74" s="3" t="s">
        <v>86</v>
      </c>
      <c r="D74" s="5" t="s">
        <v>115</v>
      </c>
      <c r="E74" s="6" t="s">
        <v>134</v>
      </c>
      <c r="F74" s="32" t="s">
        <v>135</v>
      </c>
      <c r="G74" s="33">
        <f t="shared" ref="G74" si="10">H74+I74</f>
        <v>1039000</v>
      </c>
      <c r="H74" s="35"/>
      <c r="I74" s="35">
        <f>450000+100000+360000+190000-360000+299000</f>
        <v>1039000</v>
      </c>
      <c r="J74" s="35">
        <f>450000+100000+360000+190000-360000+299000</f>
        <v>1039000</v>
      </c>
    </row>
    <row r="75" spans="1:10" ht="40.5" hidden="1" customHeight="1">
      <c r="A75" s="30" t="s">
        <v>187</v>
      </c>
      <c r="B75" s="19"/>
      <c r="C75" s="19"/>
      <c r="D75" s="19" t="s">
        <v>186</v>
      </c>
      <c r="E75" s="19"/>
      <c r="F75" s="19"/>
      <c r="G75" s="36">
        <f>G76</f>
        <v>0</v>
      </c>
      <c r="H75" s="36">
        <f t="shared" ref="H75:J75" si="11">H76</f>
        <v>0</v>
      </c>
      <c r="I75" s="36">
        <f t="shared" si="11"/>
        <v>0</v>
      </c>
      <c r="J75" s="36">
        <f t="shared" si="11"/>
        <v>0</v>
      </c>
    </row>
    <row r="76" spans="1:10" ht="40.5" hidden="1" customHeight="1">
      <c r="A76" s="2">
        <v>3719770</v>
      </c>
      <c r="B76" s="2">
        <v>9770</v>
      </c>
      <c r="C76" s="1" t="s">
        <v>20</v>
      </c>
      <c r="D76" s="8" t="s">
        <v>185</v>
      </c>
      <c r="E76" s="6"/>
      <c r="F76" s="32"/>
      <c r="G76" s="33">
        <f t="shared" ref="G76" si="12">H76+I76</f>
        <v>0</v>
      </c>
      <c r="H76" s="35"/>
      <c r="I76" s="35"/>
      <c r="J76" s="35"/>
    </row>
    <row r="77" spans="1:10" ht="18.75">
      <c r="A77" s="48" t="s">
        <v>7</v>
      </c>
      <c r="B77" s="48" t="s">
        <v>7</v>
      </c>
      <c r="C77" s="48" t="s">
        <v>7</v>
      </c>
      <c r="D77" s="49" t="s">
        <v>8</v>
      </c>
      <c r="E77" s="48" t="s">
        <v>7</v>
      </c>
      <c r="F77" s="48" t="s">
        <v>7</v>
      </c>
      <c r="G77" s="50">
        <f>G68+G60+G57+G42+G11+G75</f>
        <v>131363611.14999999</v>
      </c>
      <c r="H77" s="50">
        <f t="shared" ref="H77:J77" si="13">H68+H60+H57+H42+H11+H75</f>
        <v>55699015.859999999</v>
      </c>
      <c r="I77" s="50">
        <f t="shared" si="13"/>
        <v>75664595.290000007</v>
      </c>
      <c r="J77" s="50">
        <f t="shared" si="13"/>
        <v>75200117.409999996</v>
      </c>
    </row>
    <row r="79" spans="1:10" ht="15.75">
      <c r="C79" s="51" t="s">
        <v>120</v>
      </c>
      <c r="D79" s="51"/>
      <c r="H79" s="51" t="s">
        <v>121</v>
      </c>
      <c r="I79" s="51"/>
    </row>
    <row r="82" spans="9:9">
      <c r="I82" s="37"/>
    </row>
  </sheetData>
  <mergeCells count="13">
    <mergeCell ref="C79:D79"/>
    <mergeCell ref="H79:I79"/>
    <mergeCell ref="H8:H9"/>
    <mergeCell ref="A5:J5"/>
    <mergeCell ref="A6:J6"/>
    <mergeCell ref="I8:J8"/>
    <mergeCell ref="A8:A9"/>
    <mergeCell ref="B8:B9"/>
    <mergeCell ref="C8:C9"/>
    <mergeCell ref="D8:D9"/>
    <mergeCell ref="E8:E9"/>
    <mergeCell ref="F8:F9"/>
    <mergeCell ref="G8:G9"/>
  </mergeCells>
  <printOptions horizontalCentered="1" verticalCentered="1"/>
  <pageMargins left="0.70866141732283472" right="0.70866141732283472" top="0.94488188976377963" bottom="0.55118110236220474" header="0.31496062992125984" footer="0.31496062992125984"/>
  <pageSetup paperSize="9" scale="45" fitToHeight="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Ya Blondinko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Пользователь Windows</cp:lastModifiedBy>
  <cp:lastPrinted>2019-10-23T08:08:51Z</cp:lastPrinted>
  <dcterms:created xsi:type="dcterms:W3CDTF">2018-11-19T08:56:49Z</dcterms:created>
  <dcterms:modified xsi:type="dcterms:W3CDTF">2019-10-23T13:29:29Z</dcterms:modified>
</cp:coreProperties>
</file>